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gh\Desktop\"/>
    </mc:Choice>
  </mc:AlternateContent>
  <bookViews>
    <workbookView xWindow="-108" yWindow="-108" windowWidth="20376" windowHeight="12216"/>
  </bookViews>
  <sheets>
    <sheet name="2021년도 공사팀 예산" sheetId="14" r:id="rId1"/>
    <sheet name="2020년도 안내원 급여" sheetId="11" r:id="rId2"/>
    <sheet name="소모품비(2020년도)" sheetId="10" r:id="rId3"/>
    <sheet name="세탁" sheetId="7" r:id="rId4"/>
    <sheet name="여자 유니폼(2020년도)" sheetId="13" r:id="rId5"/>
    <sheet name="2020년도 공사팀 예산" sheetId="12" r:id="rId6"/>
    <sheet name="2019년도 총계 (3)" sheetId="9" r:id="rId7"/>
    <sheet name="소모품비(2019년도)" sheetId="5" r:id="rId8"/>
    <sheet name="공연별 급여" sheetId="2" r:id="rId9"/>
    <sheet name="남자 유니폼" sheetId="3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5" i="14" l="1"/>
  <c r="F70" i="14"/>
  <c r="Y70" i="14" l="1"/>
  <c r="U70" i="14"/>
  <c r="Q70" i="14"/>
  <c r="M70" i="14"/>
  <c r="U18" i="13" l="1"/>
  <c r="L21" i="13" l="1"/>
  <c r="L20" i="13"/>
  <c r="L19" i="13"/>
  <c r="L18" i="13"/>
  <c r="J18" i="13"/>
  <c r="G18" i="13"/>
  <c r="L17" i="13"/>
  <c r="L16" i="13"/>
  <c r="L15" i="13"/>
  <c r="L14" i="13"/>
  <c r="J14" i="13"/>
  <c r="G14" i="13"/>
  <c r="L13" i="13"/>
  <c r="L12" i="13"/>
  <c r="L11" i="13"/>
  <c r="M11" i="13" s="1"/>
  <c r="J11" i="13"/>
  <c r="G11" i="13"/>
  <c r="W10" i="13"/>
  <c r="L10" i="13"/>
  <c r="W9" i="13"/>
  <c r="L9" i="13"/>
  <c r="W8" i="13"/>
  <c r="L8" i="13"/>
  <c r="M7" i="13" s="1"/>
  <c r="W7" i="13"/>
  <c r="L7" i="13"/>
  <c r="J7" i="13"/>
  <c r="G7" i="13"/>
  <c r="W6" i="13"/>
  <c r="L6" i="13"/>
  <c r="L5" i="13"/>
  <c r="L4" i="13"/>
  <c r="L3" i="13"/>
  <c r="J3" i="13"/>
  <c r="G3" i="13"/>
  <c r="W13" i="13" l="1"/>
  <c r="U17" i="13" s="1"/>
  <c r="M18" i="13"/>
  <c r="M3" i="13"/>
  <c r="M14" i="13"/>
  <c r="K17" i="7"/>
  <c r="E9" i="7" l="1"/>
  <c r="K15" i="7"/>
  <c r="K16" i="7"/>
  <c r="K14" i="7"/>
  <c r="H17" i="11" l="1"/>
  <c r="K18" i="7" l="1"/>
  <c r="K7" i="7"/>
  <c r="K8" i="7"/>
  <c r="K10" i="7"/>
  <c r="K11" i="7"/>
  <c r="K12" i="7"/>
  <c r="K13" i="7"/>
  <c r="K6" i="7"/>
  <c r="U3" i="11" l="1"/>
  <c r="U4" i="11"/>
  <c r="U9" i="11"/>
  <c r="U5" i="11"/>
  <c r="U14" i="11"/>
  <c r="U13" i="11"/>
  <c r="U8" i="11"/>
  <c r="U12" i="11"/>
  <c r="U11" i="11"/>
  <c r="U10" i="11"/>
  <c r="U7" i="11"/>
  <c r="U6" i="11"/>
  <c r="T4" i="11"/>
  <c r="T5" i="11"/>
  <c r="T6" i="11"/>
  <c r="T7" i="11"/>
  <c r="T8" i="11"/>
  <c r="T9" i="11"/>
  <c r="T10" i="11"/>
  <c r="T11" i="11"/>
  <c r="T12" i="11"/>
  <c r="T13" i="11"/>
  <c r="T14" i="11"/>
  <c r="T3" i="11"/>
  <c r="T15" i="11" s="1"/>
  <c r="R15" i="11"/>
  <c r="R4" i="11"/>
  <c r="R5" i="11"/>
  <c r="R6" i="11"/>
  <c r="R7" i="11"/>
  <c r="R8" i="11"/>
  <c r="R9" i="11"/>
  <c r="R10" i="11"/>
  <c r="R11" i="11"/>
  <c r="R12" i="11"/>
  <c r="R13" i="11"/>
  <c r="R14" i="11"/>
  <c r="R3" i="11"/>
  <c r="U15" i="11" l="1"/>
  <c r="I14" i="11" l="1"/>
  <c r="I15" i="11"/>
  <c r="I4" i="11"/>
  <c r="I5" i="11"/>
  <c r="I6" i="11"/>
  <c r="I7" i="11"/>
  <c r="I8" i="11"/>
  <c r="I9" i="11"/>
  <c r="I10" i="11"/>
  <c r="I11" i="11"/>
  <c r="I12" i="11"/>
  <c r="I13" i="11"/>
  <c r="I3" i="11"/>
  <c r="I15" i="9"/>
  <c r="D15" i="9"/>
  <c r="C15" i="9"/>
  <c r="F15" i="9"/>
  <c r="E15" i="9"/>
  <c r="H15" i="9"/>
  <c r="G15" i="9"/>
  <c r="C4" i="11" l="1"/>
  <c r="C5" i="11" s="1"/>
  <c r="C6" i="11" s="1"/>
  <c r="C7" i="11" s="1"/>
  <c r="C8" i="11" s="1"/>
  <c r="C9" i="11" s="1"/>
  <c r="C10" i="11" s="1"/>
  <c r="C11" i="11" s="1"/>
  <c r="C12" i="11" s="1"/>
  <c r="C13" i="11" s="1"/>
  <c r="C14" i="11" s="1"/>
  <c r="C3" i="11"/>
  <c r="H15" i="11" l="1"/>
  <c r="G15" i="11"/>
  <c r="B15" i="11"/>
  <c r="C15" i="11" s="1"/>
  <c r="C23" i="10"/>
  <c r="D14" i="7" l="1"/>
  <c r="H8" i="9" l="1"/>
  <c r="H3" i="9"/>
  <c r="E4" i="9"/>
  <c r="G4" i="9" s="1"/>
  <c r="I4" i="9" s="1"/>
  <c r="E5" i="9"/>
  <c r="G5" i="9" s="1"/>
  <c r="I5" i="9" s="1"/>
  <c r="E6" i="9"/>
  <c r="G6" i="9" s="1"/>
  <c r="I6" i="9" s="1"/>
  <c r="E7" i="9"/>
  <c r="G7" i="9" s="1"/>
  <c r="I7" i="9" s="1"/>
  <c r="E8" i="9"/>
  <c r="G8" i="9" s="1"/>
  <c r="I8" i="9" s="1"/>
  <c r="E9" i="9"/>
  <c r="G9" i="9" s="1"/>
  <c r="I9" i="9" s="1"/>
  <c r="E10" i="9"/>
  <c r="G10" i="9" s="1"/>
  <c r="I10" i="9" s="1"/>
  <c r="E11" i="9"/>
  <c r="G11" i="9" s="1"/>
  <c r="I11" i="9" s="1"/>
  <c r="E12" i="9"/>
  <c r="G12" i="9" s="1"/>
  <c r="I12" i="9" s="1"/>
  <c r="E13" i="9"/>
  <c r="G13" i="9" s="1"/>
  <c r="I13" i="9" s="1"/>
  <c r="E14" i="9"/>
  <c r="G14" i="9" s="1"/>
  <c r="I14" i="9" s="1"/>
  <c r="F4" i="9"/>
  <c r="H4" i="9" s="1"/>
  <c r="F5" i="9"/>
  <c r="H5" i="9" s="1"/>
  <c r="F6" i="9"/>
  <c r="H6" i="9" s="1"/>
  <c r="F7" i="9"/>
  <c r="H7" i="9" s="1"/>
  <c r="F8" i="9"/>
  <c r="F9" i="9"/>
  <c r="H9" i="9" s="1"/>
  <c r="F10" i="9"/>
  <c r="H10" i="9" s="1"/>
  <c r="F11" i="9"/>
  <c r="H11" i="9" s="1"/>
  <c r="F12" i="9"/>
  <c r="H12" i="9" s="1"/>
  <c r="F13" i="9"/>
  <c r="H13" i="9" s="1"/>
  <c r="F14" i="9"/>
  <c r="H14" i="9" s="1"/>
  <c r="F3" i="9"/>
  <c r="E3" i="9"/>
  <c r="G3" i="9" s="1"/>
  <c r="I3" i="9" s="1"/>
  <c r="B15" i="9" l="1"/>
  <c r="C23" i="5" l="1"/>
  <c r="C17" i="5" l="1"/>
  <c r="H6" i="3" l="1"/>
  <c r="H8" i="3"/>
  <c r="E34" i="2" l="1"/>
  <c r="B33" i="2"/>
  <c r="A22" i="2"/>
  <c r="A21" i="2"/>
  <c r="I28" i="2" l="1"/>
  <c r="I27" i="2"/>
  <c r="G21" i="2"/>
  <c r="I21" i="2" s="1"/>
  <c r="G22" i="2"/>
  <c r="I22" i="2" s="1"/>
  <c r="I20" i="2"/>
  <c r="G20" i="2"/>
  <c r="H19" i="2"/>
  <c r="L8" i="2"/>
  <c r="L9" i="2"/>
  <c r="J8" i="2"/>
  <c r="J9" i="2"/>
  <c r="I12" i="2"/>
  <c r="I15" i="2" s="1"/>
  <c r="C12" i="2"/>
  <c r="C15" i="2" s="1"/>
  <c r="J5" i="2"/>
  <c r="L5" i="2" s="1"/>
  <c r="J6" i="2"/>
  <c r="L6" i="2" s="1"/>
  <c r="J7" i="2"/>
  <c r="L7" i="2" s="1"/>
  <c r="J4" i="2"/>
  <c r="L4" i="2" s="1"/>
  <c r="K17" i="2"/>
  <c r="G5" i="2"/>
  <c r="I5" i="2" s="1"/>
  <c r="G6" i="2"/>
  <c r="I6" i="2" s="1"/>
  <c r="G7" i="2"/>
  <c r="I7" i="2" s="1"/>
  <c r="G8" i="2"/>
  <c r="I8" i="2" s="1"/>
  <c r="G9" i="2"/>
  <c r="I9" i="2" s="1"/>
  <c r="G10" i="2"/>
  <c r="I10" i="2" s="1"/>
  <c r="G4" i="2"/>
  <c r="I4" i="2" s="1"/>
  <c r="H17" i="2"/>
  <c r="F6" i="2"/>
  <c r="D5" i="2"/>
  <c r="F5" i="2" s="1"/>
  <c r="F12" i="2" s="1"/>
  <c r="D6" i="2"/>
  <c r="D7" i="2"/>
  <c r="F7" i="2" s="1"/>
  <c r="D4" i="2"/>
  <c r="F4" i="2" s="1"/>
  <c r="A5" i="2"/>
  <c r="C5" i="2" s="1"/>
  <c r="A6" i="2"/>
  <c r="C6" i="2" s="1"/>
  <c r="A7" i="2"/>
  <c r="C7" i="2" s="1"/>
  <c r="A8" i="2"/>
  <c r="C8" i="2" s="1"/>
  <c r="A4" i="2"/>
  <c r="C4" i="2" s="1"/>
  <c r="H7" i="3"/>
  <c r="H5" i="3"/>
  <c r="F13" i="2" l="1"/>
  <c r="F14" i="2"/>
  <c r="C13" i="2"/>
  <c r="I13" i="2"/>
  <c r="C14" i="2"/>
  <c r="I14" i="2"/>
  <c r="L12" i="2"/>
  <c r="L14" i="2"/>
  <c r="L13" i="2"/>
  <c r="H9" i="3"/>
</calcChain>
</file>

<file path=xl/sharedStrings.xml><?xml version="1.0" encoding="utf-8"?>
<sst xmlns="http://schemas.openxmlformats.org/spreadsheetml/2006/main" count="204" uniqueCount="145">
  <si>
    <t>안내원 예산</t>
    <phoneticPr fontId="1" type="noConversion"/>
  </si>
  <si>
    <t>1월</t>
    <phoneticPr fontId="1" type="noConversion"/>
  </si>
  <si>
    <t>2월</t>
    <phoneticPr fontId="1" type="noConversion"/>
  </si>
  <si>
    <t>3월</t>
  </si>
  <si>
    <t>4월</t>
  </si>
  <si>
    <t>5월</t>
  </si>
  <si>
    <t>6월</t>
  </si>
  <si>
    <t>7월</t>
  </si>
  <si>
    <t>8월</t>
  </si>
  <si>
    <t>9월</t>
  </si>
  <si>
    <t>10월</t>
  </si>
  <si>
    <t>11월</t>
  </si>
  <si>
    <t>12월</t>
  </si>
  <si>
    <t>월 지급 급여</t>
    <phoneticPr fontId="1" type="noConversion"/>
  </si>
  <si>
    <t>남은 예산</t>
    <phoneticPr fontId="1" type="noConversion"/>
  </si>
  <si>
    <t>총 예산</t>
    <phoneticPr fontId="1" type="noConversion"/>
  </si>
  <si>
    <t>전년도(2018년도) 지급 급여</t>
    <phoneticPr fontId="1" type="noConversion"/>
  </si>
  <si>
    <t>현재까지 지급 급여</t>
    <phoneticPr fontId="1" type="noConversion"/>
  </si>
  <si>
    <t>정장 세트</t>
    <phoneticPr fontId="1" type="noConversion"/>
  </si>
  <si>
    <t>긴팔 셔츠</t>
    <phoneticPr fontId="1" type="noConversion"/>
  </si>
  <si>
    <t>반팔 셔츠</t>
    <phoneticPr fontId="1" type="noConversion"/>
  </si>
  <si>
    <t>코트</t>
    <phoneticPr fontId="1" type="noConversion"/>
  </si>
  <si>
    <t>1세트 당 가격</t>
    <phoneticPr fontId="1" type="noConversion"/>
  </si>
  <si>
    <t>최종 가격</t>
    <phoneticPr fontId="1" type="noConversion"/>
  </si>
  <si>
    <t>구매 수량</t>
    <phoneticPr fontId="1" type="noConversion"/>
  </si>
  <si>
    <t>합계</t>
    <phoneticPr fontId="1" type="noConversion"/>
  </si>
  <si>
    <t>비고</t>
    <phoneticPr fontId="1" type="noConversion"/>
  </si>
  <si>
    <t>해누리 공연(120분 기준)</t>
    <phoneticPr fontId="1" type="noConversion"/>
  </si>
  <si>
    <t>달누리 공연(120분)</t>
    <phoneticPr fontId="1" type="noConversion"/>
  </si>
  <si>
    <t>주중 오전 2회차 어린이 뮤지컬(50분)</t>
    <phoneticPr fontId="1" type="noConversion"/>
  </si>
  <si>
    <t>주말 3회차 어린이 뮤지컬(65분)</t>
    <phoneticPr fontId="1" type="noConversion"/>
  </si>
  <si>
    <t>인원수</t>
    <phoneticPr fontId="1" type="noConversion"/>
  </si>
  <si>
    <t>급여 환산</t>
    <phoneticPr fontId="1" type="noConversion"/>
  </si>
  <si>
    <t>총 근로 시간</t>
    <phoneticPr fontId="1" type="noConversion"/>
  </si>
  <si>
    <t>급여 환산(식대 포함)</t>
    <phoneticPr fontId="1" type="noConversion"/>
  </si>
  <si>
    <t>1인 급여</t>
    <phoneticPr fontId="1" type="noConversion"/>
  </si>
  <si>
    <t>2인 급여</t>
    <phoneticPr fontId="1" type="noConversion"/>
  </si>
  <si>
    <t>3인 급여</t>
  </si>
  <si>
    <t>4인 급여</t>
  </si>
  <si>
    <t>인천시티</t>
    <phoneticPr fontId="1" type="noConversion"/>
  </si>
  <si>
    <t>마술쇼</t>
    <phoneticPr fontId="1" type="noConversion"/>
  </si>
  <si>
    <t>배송비 무료</t>
    <phoneticPr fontId="1" type="noConversion"/>
  </si>
  <si>
    <t>배송비 무료</t>
    <phoneticPr fontId="1" type="noConversion"/>
  </si>
  <si>
    <t>배송비 2,300\</t>
    <phoneticPr fontId="1" type="noConversion"/>
  </si>
  <si>
    <t>4월</t>
    <phoneticPr fontId="1" type="noConversion"/>
  </si>
  <si>
    <t>간이 출퇴근 기록기</t>
    <phoneticPr fontId="1" type="noConversion"/>
  </si>
  <si>
    <t>관람객용 비상약품</t>
    <phoneticPr fontId="1" type="noConversion"/>
  </si>
  <si>
    <t>하우스운영 소모품</t>
    <phoneticPr fontId="1" type="noConversion"/>
  </si>
  <si>
    <t>하우스운영 소모품(모서리 보호대)</t>
    <phoneticPr fontId="1" type="noConversion"/>
  </si>
  <si>
    <t>2018년도</t>
    <phoneticPr fontId="1" type="noConversion"/>
  </si>
  <si>
    <t>2019년도</t>
    <phoneticPr fontId="1" type="noConversion"/>
  </si>
  <si>
    <t>전년도 대비 차액</t>
    <phoneticPr fontId="1" type="noConversion"/>
  </si>
  <si>
    <t>남은 예산</t>
    <phoneticPr fontId="1" type="noConversion"/>
  </si>
  <si>
    <t>세탁비</t>
    <phoneticPr fontId="1" type="noConversion"/>
  </si>
  <si>
    <t>소모품비</t>
    <phoneticPr fontId="1" type="noConversion"/>
  </si>
  <si>
    <t>하우스운영 소모품</t>
  </si>
  <si>
    <t>신발장</t>
    <phoneticPr fontId="1" type="noConversion"/>
  </si>
  <si>
    <t>우산꽂이</t>
    <phoneticPr fontId="1" type="noConversion"/>
  </si>
  <si>
    <t>방석 소독액</t>
    <phoneticPr fontId="1" type="noConversion"/>
  </si>
  <si>
    <t>남자 안내원 동절기 유니폼</t>
    <phoneticPr fontId="1" type="noConversion"/>
  </si>
  <si>
    <t>사야 할 품목들</t>
    <phoneticPr fontId="1" type="noConversion"/>
  </si>
  <si>
    <t>의자</t>
    <phoneticPr fontId="1" type="noConversion"/>
  </si>
  <si>
    <t>테이블, 신발장, 우산꽂이, 방석 소독액</t>
    <phoneticPr fontId="1" type="noConversion"/>
  </si>
  <si>
    <t>블라우스</t>
    <phoneticPr fontId="1" type="noConversion"/>
  </si>
  <si>
    <t>가디건</t>
    <phoneticPr fontId="1" type="noConversion"/>
  </si>
  <si>
    <t>자켓</t>
    <phoneticPr fontId="1" type="noConversion"/>
  </si>
  <si>
    <t>세탁 예산
(12/5 결제)</t>
    <phoneticPr fontId="1" type="noConversion"/>
  </si>
  <si>
    <t>남은 금액</t>
    <phoneticPr fontId="1" type="noConversion"/>
  </si>
  <si>
    <t>19년도 총 지급 급여</t>
    <phoneticPr fontId="1" type="noConversion"/>
  </si>
  <si>
    <t>해누리</t>
    <phoneticPr fontId="1" type="noConversion"/>
  </si>
  <si>
    <t>달누리</t>
    <phoneticPr fontId="1" type="noConversion"/>
  </si>
  <si>
    <t>대관공연</t>
    <phoneticPr fontId="1" type="noConversion"/>
  </si>
  <si>
    <t>부키프(2회), 솔아 솔아 음악제(1회) 추가</t>
    <phoneticPr fontId="1" type="noConversion"/>
  </si>
  <si>
    <t xml:space="preserve">해누리 </t>
    <phoneticPr fontId="1" type="noConversion"/>
  </si>
  <si>
    <t>달누리</t>
    <phoneticPr fontId="1" type="noConversion"/>
  </si>
  <si>
    <t>총 운영 비용</t>
    <phoneticPr fontId="1" type="noConversion"/>
  </si>
  <si>
    <t>평균 운영 비용</t>
    <phoneticPr fontId="1" type="noConversion"/>
  </si>
  <si>
    <t>해누리</t>
    <phoneticPr fontId="1" type="noConversion"/>
  </si>
  <si>
    <t>평균 안내원 수</t>
    <phoneticPr fontId="1" type="noConversion"/>
  </si>
  <si>
    <t>해누리</t>
    <phoneticPr fontId="1" type="noConversion"/>
  </si>
  <si>
    <t>5 명</t>
    <phoneticPr fontId="1" type="noConversion"/>
  </si>
  <si>
    <t>비고</t>
    <phoneticPr fontId="1" type="noConversion"/>
  </si>
  <si>
    <t>신입 어셔 채용(회차당 평균 3명 출근)</t>
    <phoneticPr fontId="1" type="noConversion"/>
  </si>
  <si>
    <t>12/14 결제</t>
    <phoneticPr fontId="1" type="noConversion"/>
  </si>
  <si>
    <t>20년도 예산</t>
    <phoneticPr fontId="1" type="noConversion"/>
  </si>
  <si>
    <t>금액</t>
    <phoneticPr fontId="1" type="noConversion"/>
  </si>
  <si>
    <t>구매 필요 물품</t>
    <phoneticPr fontId="1" type="noConversion"/>
  </si>
  <si>
    <t>예상 금액</t>
    <phoneticPr fontId="1" type="noConversion"/>
  </si>
  <si>
    <t>결제 날짜</t>
    <phoneticPr fontId="1" type="noConversion"/>
  </si>
  <si>
    <t>금액</t>
    <phoneticPr fontId="1" type="noConversion"/>
  </si>
  <si>
    <t>물품</t>
    <phoneticPr fontId="1" type="noConversion"/>
  </si>
  <si>
    <t>예산</t>
    <phoneticPr fontId="1" type="noConversion"/>
  </si>
  <si>
    <t>총계</t>
    <phoneticPr fontId="1" type="noConversion"/>
  </si>
  <si>
    <t>품목</t>
    <phoneticPr fontId="1" type="noConversion"/>
  </si>
  <si>
    <t>단가</t>
    <phoneticPr fontId="1" type="noConversion"/>
  </si>
  <si>
    <t>총 금액</t>
    <phoneticPr fontId="1" type="noConversion"/>
  </si>
  <si>
    <t>총계</t>
    <phoneticPr fontId="1" type="noConversion"/>
  </si>
  <si>
    <t>2020년도</t>
    <phoneticPr fontId="1" type="noConversion"/>
  </si>
  <si>
    <t>2020년도 안내원 예산</t>
    <phoneticPr fontId="1" type="noConversion"/>
  </si>
  <si>
    <t>현재 수량</t>
    <phoneticPr fontId="1" type="noConversion"/>
  </si>
  <si>
    <t>구매 예정 수량</t>
    <phoneticPr fontId="1" type="noConversion"/>
  </si>
  <si>
    <t>가디건</t>
    <phoneticPr fontId="1" type="noConversion"/>
  </si>
  <si>
    <t>스커트</t>
    <phoneticPr fontId="1" type="noConversion"/>
  </si>
  <si>
    <t>팬츠</t>
    <phoneticPr fontId="1" type="noConversion"/>
  </si>
  <si>
    <t>부평아트센터 여성 안내원 유니폼 현황 및 추가 구매</t>
    <phoneticPr fontId="1" type="noConversion"/>
  </si>
  <si>
    <t>품목별 단가</t>
    <phoneticPr fontId="1" type="noConversion"/>
  </si>
  <si>
    <t>수량</t>
    <phoneticPr fontId="1" type="noConversion"/>
  </si>
  <si>
    <t>비용</t>
    <phoneticPr fontId="1" type="noConversion"/>
  </si>
  <si>
    <t>총 비용</t>
    <phoneticPr fontId="1" type="noConversion"/>
  </si>
  <si>
    <t>품목</t>
    <phoneticPr fontId="1" type="noConversion"/>
  </si>
  <si>
    <t>남 자켓</t>
    <phoneticPr fontId="1" type="noConversion"/>
  </si>
  <si>
    <t>남 셔츠</t>
    <phoneticPr fontId="1" type="noConversion"/>
  </si>
  <si>
    <t>남 바지</t>
    <phoneticPr fontId="1" type="noConversion"/>
  </si>
  <si>
    <t>여 자켓</t>
    <phoneticPr fontId="1" type="noConversion"/>
  </si>
  <si>
    <t>여 블라우스</t>
    <phoneticPr fontId="1" type="noConversion"/>
  </si>
  <si>
    <t>여 치마</t>
    <phoneticPr fontId="1" type="noConversion"/>
  </si>
  <si>
    <t>여 바지</t>
    <phoneticPr fontId="1" type="noConversion"/>
  </si>
  <si>
    <t>총 금액</t>
    <phoneticPr fontId="1" type="noConversion"/>
  </si>
  <si>
    <t>세탁비 계산(1/10)</t>
    <phoneticPr fontId="1" type="noConversion"/>
  </si>
  <si>
    <t>저장 금액</t>
    <phoneticPr fontId="1" type="noConversion"/>
  </si>
  <si>
    <t>결제 후 금액</t>
    <phoneticPr fontId="1" type="noConversion"/>
  </si>
  <si>
    <t>여 가디건</t>
    <phoneticPr fontId="1" type="noConversion"/>
  </si>
  <si>
    <t>여 치마 수선</t>
    <phoneticPr fontId="1" type="noConversion"/>
  </si>
  <si>
    <t>1/15 결제</t>
    <phoneticPr fontId="1" type="noConversion"/>
  </si>
  <si>
    <t>팬츠</t>
    <phoneticPr fontId="1" type="noConversion"/>
  </si>
  <si>
    <t>소모품</t>
    <phoneticPr fontId="1" type="noConversion"/>
  </si>
  <si>
    <t>총예산</t>
    <phoneticPr fontId="1" type="noConversion"/>
  </si>
  <si>
    <t>잔여 예산</t>
    <phoneticPr fontId="1" type="noConversion"/>
  </si>
  <si>
    <t>2월</t>
    <phoneticPr fontId="1" type="noConversion"/>
  </si>
  <si>
    <t>3월</t>
    <phoneticPr fontId="1" type="noConversion"/>
  </si>
  <si>
    <t>4월</t>
    <phoneticPr fontId="1" type="noConversion"/>
  </si>
  <si>
    <t>5월</t>
    <phoneticPr fontId="1" type="noConversion"/>
  </si>
  <si>
    <t>6월</t>
    <phoneticPr fontId="1" type="noConversion"/>
  </si>
  <si>
    <t>7월</t>
    <phoneticPr fontId="1" type="noConversion"/>
  </si>
  <si>
    <t>소모 예산</t>
    <phoneticPr fontId="1" type="noConversion"/>
  </si>
  <si>
    <t>총 예산</t>
    <phoneticPr fontId="1" type="noConversion"/>
  </si>
  <si>
    <t>잔여 예산</t>
    <phoneticPr fontId="1" type="noConversion"/>
  </si>
  <si>
    <t>방역소모품</t>
    <phoneticPr fontId="1" type="noConversion"/>
  </si>
  <si>
    <t>유니폼</t>
    <phoneticPr fontId="1" type="noConversion"/>
  </si>
  <si>
    <t>세탁비</t>
    <phoneticPr fontId="1" type="noConversion"/>
  </si>
  <si>
    <t>급여</t>
    <phoneticPr fontId="1" type="noConversion"/>
  </si>
  <si>
    <t>추가 구매 수량(2020)</t>
    <phoneticPr fontId="1" type="noConversion"/>
  </si>
  <si>
    <t>현재 수량(2019)</t>
    <phoneticPr fontId="1" type="noConversion"/>
  </si>
  <si>
    <t>구매 후  총 수량(2021)</t>
    <phoneticPr fontId="1" type="noConversion"/>
  </si>
  <si>
    <t>크루 삭감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</si>
</sst>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6" formatCode="&quot;₩&quot;#,##0;[Red]\-&quot;₩&quot;#,##0"/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176" formatCode="&quot;₩&quot;#,##0_);[Red]\(&quot;₩&quot;#,##0\)"/>
    <numFmt numFmtId="177" formatCode="0.0_ "/>
    <numFmt numFmtId="178" formatCode="&quot;₩&quot;#,##0"/>
    <numFmt numFmtId="179" formatCode="0.0_);[Red]\(0.0\)"/>
    <numFmt numFmtId="180" formatCode="&quot;₩&quot;#,##0.00_);[Red]\(&quot;₩&quot;#,##0.00\)"/>
    <numFmt numFmtId="181" formatCode="mm&quot;월&quot;\ dd&quot;일&quot;"/>
    <numFmt numFmtId="182" formatCode="#\ &quot;건&quot;"/>
    <numFmt numFmtId="183" formatCode="#\ &quot;회&quot;"/>
    <numFmt numFmtId="184" formatCode="#\ &quot;명&quot;"/>
    <numFmt numFmtId="185" formatCode="&quot;총&quot;\ #\ &quot;벌&quot;"/>
    <numFmt numFmtId="186" formatCode="#&quot;월&quot;"/>
  </numFmts>
  <fonts count="28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b/>
      <sz val="11"/>
      <color theme="1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</font>
    <font>
      <sz val="11"/>
      <color theme="4" tint="-0.249977111117893"/>
      <name val="맑은 고딕"/>
      <family val="2"/>
      <charset val="129"/>
      <scheme val="minor"/>
    </font>
    <font>
      <b/>
      <sz val="11"/>
      <color theme="4" tint="-0.249977111117893"/>
      <name val="맑은 고딕"/>
      <family val="3"/>
      <charset val="129"/>
      <scheme val="minor"/>
    </font>
    <font>
      <sz val="7"/>
      <color theme="1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sz val="8"/>
      <color theme="1"/>
      <name val="맑은 고딕"/>
      <family val="2"/>
      <charset val="129"/>
      <scheme val="minor"/>
    </font>
    <font>
      <b/>
      <u val="singleAccounting"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  <font>
      <sz val="6"/>
      <color theme="1"/>
      <name val="맑은 고딕"/>
      <family val="2"/>
      <charset val="129"/>
      <scheme val="minor"/>
    </font>
    <font>
      <b/>
      <sz val="6"/>
      <color theme="1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  <scheme val="minor"/>
    </font>
    <font>
      <sz val="11"/>
      <color theme="1"/>
      <name val="HY헤드라인M"/>
      <family val="1"/>
      <charset val="129"/>
    </font>
    <font>
      <sz val="18"/>
      <color theme="1"/>
      <name val="HY헤드라인M"/>
      <family val="1"/>
      <charset val="129"/>
    </font>
    <font>
      <sz val="10"/>
      <color theme="1"/>
      <name val="HY헤드라인M"/>
      <family val="1"/>
      <charset val="129"/>
    </font>
    <font>
      <sz val="9"/>
      <color theme="1"/>
      <name val="HY헤드라인M"/>
      <family val="1"/>
      <charset val="129"/>
    </font>
    <font>
      <sz val="11"/>
      <color rgb="FF0070C0"/>
      <name val="HY헤드라인M"/>
      <family val="1"/>
      <charset val="129"/>
    </font>
    <font>
      <sz val="11"/>
      <color rgb="FF00B050"/>
      <name val="HY헤드라인M"/>
      <family val="1"/>
      <charset val="129"/>
    </font>
    <font>
      <sz val="11"/>
      <color rgb="FFFF0000"/>
      <name val="맑은 고딕"/>
      <family val="2"/>
      <charset val="129"/>
      <scheme val="minor"/>
    </font>
    <font>
      <b/>
      <sz val="11"/>
      <color theme="4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rgb="FFFF0000"/>
      </left>
      <right/>
      <top style="medium">
        <color rgb="FFFF0000"/>
      </top>
      <bottom style="medium">
        <color indexed="64"/>
      </bottom>
      <diagonal/>
    </border>
    <border>
      <left/>
      <right/>
      <top style="medium">
        <color rgb="FFFF0000"/>
      </top>
      <bottom style="medium">
        <color indexed="64"/>
      </bottom>
      <diagonal/>
    </border>
    <border>
      <left/>
      <right style="medium">
        <color rgb="FFFF0000"/>
      </right>
      <top style="medium">
        <color rgb="FFFF0000"/>
      </top>
      <bottom style="medium">
        <color indexed="64"/>
      </bottom>
      <diagonal/>
    </border>
    <border>
      <left style="medium">
        <color rgb="FFFF0000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rgb="FFFF0000"/>
      </right>
      <top/>
      <bottom/>
      <diagonal/>
    </border>
    <border>
      <left style="medium">
        <color rgb="FFFF0000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FF0000"/>
      </right>
      <top/>
      <bottom style="medium">
        <color indexed="64"/>
      </bottom>
      <diagonal/>
    </border>
    <border>
      <left style="medium">
        <color indexed="64"/>
      </left>
      <right style="medium">
        <color rgb="FFFF0000"/>
      </right>
      <top style="medium">
        <color indexed="64"/>
      </top>
      <bottom/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FF0000"/>
      </bottom>
      <diagonal/>
    </border>
    <border>
      <left style="medium">
        <color indexed="64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41" fontId="3" fillId="0" borderId="0" applyFont="0" applyFill="0" applyBorder="0" applyAlignment="0" applyProtection="0">
      <alignment vertical="center"/>
    </xf>
  </cellStyleXfs>
  <cellXfs count="22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42" fontId="0" fillId="2" borderId="1" xfId="0" applyNumberFormat="1" applyFill="1" applyBorder="1" applyAlignment="1">
      <alignment horizontal="center" vertical="center"/>
    </xf>
    <xf numFmtId="0" fontId="0" fillId="2" borderId="0" xfId="0" applyFill="1">
      <alignment vertical="center"/>
    </xf>
    <xf numFmtId="0" fontId="0" fillId="2" borderId="1" xfId="0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1" xfId="0" applyNumberFormat="1" applyFill="1" applyBorder="1" applyAlignment="1">
      <alignment horizontal="center" vertical="center"/>
    </xf>
    <xf numFmtId="42" fontId="0" fillId="2" borderId="17" xfId="0" applyNumberFormat="1" applyFill="1" applyBorder="1" applyAlignment="1">
      <alignment horizontal="center" vertical="center"/>
    </xf>
    <xf numFmtId="42" fontId="0" fillId="2" borderId="18" xfId="0" applyNumberFormat="1" applyFill="1" applyBorder="1" applyAlignment="1">
      <alignment horizontal="center" vertical="center"/>
    </xf>
    <xf numFmtId="42" fontId="11" fillId="2" borderId="18" xfId="0" applyNumberFormat="1" applyFont="1" applyFill="1" applyBorder="1" applyAlignment="1">
      <alignment horizontal="center" vertical="center"/>
    </xf>
    <xf numFmtId="178" fontId="0" fillId="3" borderId="7" xfId="0" applyNumberForma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177" fontId="0" fillId="2" borderId="6" xfId="0" applyNumberFormat="1" applyFill="1" applyBorder="1" applyAlignment="1">
      <alignment horizontal="center" vertical="center"/>
    </xf>
    <xf numFmtId="178" fontId="0" fillId="2" borderId="7" xfId="0" applyNumberFormat="1" applyFill="1" applyBorder="1" applyAlignment="1">
      <alignment horizontal="center" vertical="center"/>
    </xf>
    <xf numFmtId="179" fontId="0" fillId="2" borderId="6" xfId="0" applyNumberFormat="1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20" fontId="0" fillId="2" borderId="0" xfId="0" applyNumberFormat="1" applyFill="1" applyAlignment="1">
      <alignment horizontal="center" vertical="center"/>
    </xf>
    <xf numFmtId="42" fontId="0" fillId="2" borderId="7" xfId="0" applyNumberFormat="1" applyFill="1" applyBorder="1" applyAlignment="1">
      <alignment horizontal="center" vertical="center"/>
    </xf>
    <xf numFmtId="42" fontId="0" fillId="2" borderId="10" xfId="0" applyNumberFormat="1" applyFill="1" applyBorder="1" applyAlignment="1">
      <alignment horizontal="center" vertical="center"/>
    </xf>
    <xf numFmtId="177" fontId="0" fillId="2" borderId="0" xfId="0" applyNumberFormat="1" applyFill="1" applyAlignment="1">
      <alignment horizontal="center" vertical="center"/>
    </xf>
    <xf numFmtId="42" fontId="0" fillId="2" borderId="0" xfId="0" applyNumberFormat="1" applyFill="1" applyAlignment="1">
      <alignment horizontal="center" vertical="center"/>
    </xf>
    <xf numFmtId="178" fontId="0" fillId="2" borderId="0" xfId="0" applyNumberFormat="1" applyFill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80" fontId="0" fillId="0" borderId="0" xfId="0" applyNumberFormat="1" applyAlignment="1">
      <alignment horizontal="center" vertical="center"/>
    </xf>
    <xf numFmtId="178" fontId="0" fillId="2" borderId="1" xfId="0" applyNumberFormat="1" applyFill="1" applyBorder="1" applyAlignment="1">
      <alignment horizontal="right" vertical="center"/>
    </xf>
    <xf numFmtId="178" fontId="0" fillId="0" borderId="21" xfId="0" applyNumberFormat="1" applyFill="1" applyBorder="1" applyAlignment="1">
      <alignment horizontal="right" vertical="center"/>
    </xf>
    <xf numFmtId="181" fontId="0" fillId="2" borderId="6" xfId="0" applyNumberForma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181" fontId="0" fillId="0" borderId="24" xfId="0" applyNumberForma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42" fontId="3" fillId="0" borderId="1" xfId="2" applyNumberFormat="1" applyFont="1" applyBorder="1" applyAlignment="1">
      <alignment horizontal="center" vertical="center"/>
    </xf>
    <xf numFmtId="42" fontId="2" fillId="0" borderId="1" xfId="0" applyNumberFormat="1" applyFont="1" applyBorder="1" applyAlignment="1">
      <alignment horizontal="center" vertical="center"/>
    </xf>
    <xf numFmtId="42" fontId="3" fillId="0" borderId="1" xfId="2" applyNumberFormat="1" applyFont="1" applyBorder="1">
      <alignment vertical="center"/>
    </xf>
    <xf numFmtId="0" fontId="8" fillId="0" borderId="1" xfId="0" applyFont="1" applyFill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183" fontId="0" fillId="0" borderId="1" xfId="0" applyNumberForma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184" fontId="4" fillId="0" borderId="1" xfId="0" applyNumberFormat="1" applyFont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178" fontId="0" fillId="2" borderId="1" xfId="0" applyNumberFormat="1" applyFill="1" applyBorder="1" applyAlignment="1">
      <alignment horizontal="center" vertical="center"/>
    </xf>
    <xf numFmtId="181" fontId="0" fillId="0" borderId="6" xfId="0" applyNumberFormat="1" applyFill="1" applyBorder="1" applyAlignment="1">
      <alignment horizontal="center" vertical="center"/>
    </xf>
    <xf numFmtId="181" fontId="0" fillId="2" borderId="24" xfId="0" applyNumberFormat="1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181" fontId="0" fillId="2" borderId="22" xfId="0" applyNumberFormat="1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181" fontId="4" fillId="2" borderId="32" xfId="0" applyNumberFormat="1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178" fontId="4" fillId="2" borderId="27" xfId="0" applyNumberFormat="1" applyFont="1" applyFill="1" applyBorder="1" applyAlignment="1">
      <alignment horizontal="center" vertical="center"/>
    </xf>
    <xf numFmtId="178" fontId="0" fillId="2" borderId="21" xfId="0" applyNumberFormat="1" applyFill="1" applyBorder="1" applyAlignment="1">
      <alignment horizontal="center" vertical="center"/>
    </xf>
    <xf numFmtId="178" fontId="0" fillId="0" borderId="1" xfId="0" applyNumberFormat="1" applyFill="1" applyBorder="1" applyAlignment="1">
      <alignment horizontal="center" vertical="center"/>
    </xf>
    <xf numFmtId="178" fontId="0" fillId="2" borderId="19" xfId="0" applyNumberFormat="1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178" fontId="0" fillId="2" borderId="28" xfId="0" applyNumberFormat="1" applyFill="1" applyBorder="1" applyAlignment="1">
      <alignment horizontal="center" vertical="center"/>
    </xf>
    <xf numFmtId="178" fontId="0" fillId="2" borderId="10" xfId="0" applyNumberFormat="1" applyFill="1" applyBorder="1" applyAlignment="1">
      <alignment horizontal="center" vertical="center"/>
    </xf>
    <xf numFmtId="178" fontId="0" fillId="2" borderId="9" xfId="0" applyNumberFormat="1" applyFill="1" applyBorder="1" applyAlignment="1">
      <alignment horizontal="center" vertical="center"/>
    </xf>
    <xf numFmtId="6" fontId="9" fillId="2" borderId="1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42" fontId="5" fillId="2" borderId="1" xfId="2" applyNumberFormat="1" applyFont="1" applyFill="1" applyBorder="1" applyAlignment="1">
      <alignment horizontal="center" vertical="center"/>
    </xf>
    <xf numFmtId="176" fontId="7" fillId="2" borderId="1" xfId="0" applyNumberFormat="1" applyFont="1" applyFill="1" applyBorder="1" applyAlignment="1">
      <alignment horizontal="center" vertical="center"/>
    </xf>
    <xf numFmtId="176" fontId="4" fillId="2" borderId="7" xfId="0" applyNumberFormat="1" applyFont="1" applyFill="1" applyBorder="1" applyAlignment="1">
      <alignment horizontal="center" vertical="center"/>
    </xf>
    <xf numFmtId="176" fontId="4" fillId="2" borderId="0" xfId="0" applyNumberFormat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42" fontId="2" fillId="2" borderId="6" xfId="0" applyNumberFormat="1" applyFont="1" applyFill="1" applyBorder="1" applyAlignment="1">
      <alignment horizontal="center" vertical="center"/>
    </xf>
    <xf numFmtId="42" fontId="3" fillId="2" borderId="1" xfId="2" applyNumberFormat="1" applyFont="1" applyFill="1" applyBorder="1" applyAlignment="1">
      <alignment horizontal="center" vertical="center"/>
    </xf>
    <xf numFmtId="176" fontId="0" fillId="2" borderId="7" xfId="0" applyNumberFormat="1" applyFill="1" applyBorder="1" applyAlignment="1">
      <alignment horizontal="center" vertical="center"/>
    </xf>
    <xf numFmtId="42" fontId="4" fillId="2" borderId="1" xfId="0" applyNumberFormat="1" applyFont="1" applyFill="1" applyBorder="1" applyAlignment="1">
      <alignment horizontal="center" vertical="center"/>
    </xf>
    <xf numFmtId="42" fontId="2" fillId="2" borderId="1" xfId="0" applyNumberFormat="1" applyFont="1" applyFill="1" applyBorder="1" applyAlignment="1">
      <alignment horizontal="center" vertical="center"/>
    </xf>
    <xf numFmtId="180" fontId="4" fillId="2" borderId="7" xfId="0" applyNumberFormat="1" applyFont="1" applyFill="1" applyBorder="1" applyAlignment="1">
      <alignment horizontal="center" vertical="center"/>
    </xf>
    <xf numFmtId="180" fontId="4" fillId="2" borderId="0" xfId="0" applyNumberFormat="1" applyFont="1" applyFill="1" applyBorder="1" applyAlignment="1">
      <alignment horizontal="center" vertical="center"/>
    </xf>
    <xf numFmtId="42" fontId="5" fillId="2" borderId="17" xfId="2" applyNumberFormat="1" applyFont="1" applyFill="1" applyBorder="1">
      <alignment vertical="center"/>
    </xf>
    <xf numFmtId="42" fontId="3" fillId="2" borderId="17" xfId="2" applyNumberFormat="1" applyFont="1" applyFill="1" applyBorder="1" applyAlignment="1">
      <alignment horizontal="center" vertical="center"/>
    </xf>
    <xf numFmtId="42" fontId="3" fillId="2" borderId="2" xfId="2" applyNumberFormat="1" applyFont="1" applyFill="1" applyBorder="1" applyAlignment="1">
      <alignment horizontal="center" vertical="center"/>
    </xf>
    <xf numFmtId="42" fontId="4" fillId="2" borderId="9" xfId="0" applyNumberFormat="1" applyFont="1" applyFill="1" applyBorder="1" applyAlignment="1">
      <alignment horizontal="center" vertical="center"/>
    </xf>
    <xf numFmtId="176" fontId="4" fillId="2" borderId="10" xfId="0" applyNumberFormat="1" applyFont="1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42" fontId="2" fillId="2" borderId="22" xfId="0" applyNumberFormat="1" applyFont="1" applyFill="1" applyBorder="1" applyAlignment="1">
      <alignment horizontal="center" vertical="center"/>
    </xf>
    <xf numFmtId="42" fontId="2" fillId="2" borderId="19" xfId="0" applyNumberFormat="1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176" fontId="4" fillId="2" borderId="15" xfId="0" applyNumberFormat="1" applyFont="1" applyFill="1" applyBorder="1" applyAlignment="1">
      <alignment horizontal="center" vertical="center"/>
    </xf>
    <xf numFmtId="176" fontId="7" fillId="2" borderId="16" xfId="0" applyNumberFormat="1" applyFont="1" applyFill="1" applyBorder="1" applyAlignment="1">
      <alignment horizontal="center" vertical="center"/>
    </xf>
    <xf numFmtId="176" fontId="0" fillId="2" borderId="34" xfId="0" applyNumberFormat="1" applyFill="1" applyBorder="1" applyAlignment="1">
      <alignment horizontal="center" vertical="center"/>
    </xf>
    <xf numFmtId="176" fontId="0" fillId="2" borderId="0" xfId="0" applyNumberFormat="1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176" fontId="4" fillId="2" borderId="38" xfId="0" applyNumberFormat="1" applyFont="1" applyFill="1" applyBorder="1" applyAlignment="1">
      <alignment horizontal="center" vertical="center"/>
    </xf>
    <xf numFmtId="176" fontId="0" fillId="2" borderId="0" xfId="0" applyNumberFormat="1" applyFill="1" applyAlignment="1">
      <alignment horizontal="center" vertical="center"/>
    </xf>
    <xf numFmtId="180" fontId="0" fillId="2" borderId="0" xfId="0" applyNumberFormat="1" applyFill="1" applyAlignment="1">
      <alignment horizontal="center" vertical="center"/>
    </xf>
    <xf numFmtId="180" fontId="0" fillId="2" borderId="0" xfId="0" applyNumberFormat="1" applyFill="1" applyBorder="1" applyAlignment="1">
      <alignment horizontal="center" vertical="center"/>
    </xf>
    <xf numFmtId="184" fontId="2" fillId="0" borderId="1" xfId="0" applyNumberFormat="1" applyFont="1" applyBorder="1" applyAlignment="1">
      <alignment horizontal="center" vertical="center"/>
    </xf>
    <xf numFmtId="182" fontId="0" fillId="0" borderId="1" xfId="0" applyNumberFormat="1" applyBorder="1" applyAlignment="1">
      <alignment vertical="center"/>
    </xf>
    <xf numFmtId="42" fontId="4" fillId="2" borderId="15" xfId="0" applyNumberFormat="1" applyFont="1" applyFill="1" applyBorder="1" applyAlignment="1">
      <alignment horizontal="center" vertical="center"/>
    </xf>
    <xf numFmtId="176" fontId="0" fillId="2" borderId="16" xfId="0" applyNumberFormat="1" applyFill="1" applyBorder="1" applyAlignment="1">
      <alignment horizontal="center" vertical="center"/>
    </xf>
    <xf numFmtId="42" fontId="0" fillId="2" borderId="1" xfId="0" applyNumberFormat="1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0" fillId="7" borderId="15" xfId="0" applyFill="1" applyBorder="1" applyAlignment="1">
      <alignment horizontal="center" vertical="center"/>
    </xf>
    <xf numFmtId="0" fontId="0" fillId="7" borderId="16" xfId="0" applyFill="1" applyBorder="1" applyAlignment="1">
      <alignment horizontal="center" vertical="center"/>
    </xf>
    <xf numFmtId="0" fontId="0" fillId="4" borderId="24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19" fillId="0" borderId="40" xfId="0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19" fillId="0" borderId="42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22" fillId="8" borderId="50" xfId="0" applyFont="1" applyFill="1" applyBorder="1" applyAlignment="1">
      <alignment horizontal="center" vertical="center" wrapText="1"/>
    </xf>
    <xf numFmtId="0" fontId="21" fillId="7" borderId="47" xfId="0" applyFont="1" applyFill="1" applyBorder="1" applyAlignment="1">
      <alignment horizontal="center" vertical="center"/>
    </xf>
    <xf numFmtId="0" fontId="21" fillId="7" borderId="48" xfId="0" applyFont="1" applyFill="1" applyBorder="1" applyAlignment="1">
      <alignment horizontal="center" vertical="center"/>
    </xf>
    <xf numFmtId="0" fontId="21" fillId="7" borderId="49" xfId="0" applyFont="1" applyFill="1" applyBorder="1" applyAlignment="1">
      <alignment horizontal="center" vertical="center"/>
    </xf>
    <xf numFmtId="44" fontId="0" fillId="2" borderId="0" xfId="0" applyNumberFormat="1" applyFill="1" applyAlignment="1">
      <alignment horizontal="center" vertical="center"/>
    </xf>
    <xf numFmtId="186" fontId="0" fillId="2" borderId="0" xfId="0" applyNumberFormat="1" applyFill="1" applyAlignment="1">
      <alignment horizontal="center" vertical="center"/>
    </xf>
    <xf numFmtId="186" fontId="0" fillId="2" borderId="1" xfId="0" applyNumberFormat="1" applyFill="1" applyBorder="1" applyAlignment="1">
      <alignment horizontal="center" vertical="center"/>
    </xf>
    <xf numFmtId="0" fontId="17" fillId="2" borderId="1" xfId="0" applyFont="1" applyFill="1" applyBorder="1">
      <alignment vertical="center"/>
    </xf>
    <xf numFmtId="178" fontId="17" fillId="2" borderId="1" xfId="0" applyNumberFormat="1" applyFont="1" applyFill="1" applyBorder="1">
      <alignment vertical="center"/>
    </xf>
    <xf numFmtId="42" fontId="0" fillId="2" borderId="0" xfId="0" applyNumberFormat="1" applyFill="1" applyBorder="1" applyAlignment="1">
      <alignment horizontal="center" vertical="center"/>
    </xf>
    <xf numFmtId="178" fontId="0" fillId="2" borderId="0" xfId="0" applyNumberFormat="1" applyFill="1">
      <alignment vertical="center"/>
    </xf>
    <xf numFmtId="0" fontId="23" fillId="0" borderId="37" xfId="0" applyFont="1" applyBorder="1" applyAlignment="1">
      <alignment horizontal="center" vertical="center"/>
    </xf>
    <xf numFmtId="0" fontId="23" fillId="0" borderId="41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3" fillId="0" borderId="40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21" fillId="7" borderId="59" xfId="0" applyFont="1" applyFill="1" applyBorder="1" applyAlignment="1">
      <alignment horizontal="center" vertical="center"/>
    </xf>
    <xf numFmtId="0" fontId="21" fillId="7" borderId="61" xfId="0" applyFont="1" applyFill="1" applyBorder="1" applyAlignment="1">
      <alignment horizontal="center" vertical="center"/>
    </xf>
    <xf numFmtId="0" fontId="21" fillId="7" borderId="64" xfId="0" applyFont="1" applyFill="1" applyBorder="1" applyAlignment="1">
      <alignment horizontal="center" vertical="center"/>
    </xf>
    <xf numFmtId="0" fontId="24" fillId="0" borderId="65" xfId="0" applyFont="1" applyBorder="1" applyAlignment="1">
      <alignment horizontal="center" vertical="center"/>
    </xf>
    <xf numFmtId="0" fontId="25" fillId="0" borderId="0" xfId="0" applyFont="1">
      <alignment vertical="center"/>
    </xf>
    <xf numFmtId="41" fontId="25" fillId="0" borderId="0" xfId="0" applyNumberFormat="1" applyFont="1">
      <alignment vertical="center"/>
    </xf>
    <xf numFmtId="41" fontId="0" fillId="0" borderId="0" xfId="0" applyNumberFormat="1">
      <alignment vertical="center"/>
    </xf>
    <xf numFmtId="181" fontId="0" fillId="0" borderId="0" xfId="0" applyNumberFormat="1">
      <alignment vertical="center"/>
    </xf>
    <xf numFmtId="41" fontId="26" fillId="0" borderId="0" xfId="0" applyNumberFormat="1" applyFont="1">
      <alignment vertical="center"/>
    </xf>
    <xf numFmtId="0" fontId="21" fillId="7" borderId="68" xfId="0" applyFont="1" applyFill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1" fillId="7" borderId="67" xfId="0" applyFont="1" applyFill="1" applyBorder="1" applyAlignment="1">
      <alignment horizontal="center" vertical="center"/>
    </xf>
    <xf numFmtId="186" fontId="0" fillId="0" borderId="0" xfId="0" applyNumberFormat="1" applyAlignment="1">
      <alignment horizontal="center" vertical="center"/>
    </xf>
    <xf numFmtId="41" fontId="0" fillId="0" borderId="0" xfId="0" applyNumberFormat="1" applyAlignment="1">
      <alignment horizontal="center" vertical="center"/>
    </xf>
    <xf numFmtId="41" fontId="26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41" fontId="27" fillId="0" borderId="0" xfId="0" applyNumberFormat="1" applyFont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33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36" xfId="0" applyFill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178" fontId="0" fillId="2" borderId="30" xfId="0" applyNumberFormat="1" applyFill="1" applyBorder="1" applyAlignment="1">
      <alignment horizontal="center" vertical="center"/>
    </xf>
    <xf numFmtId="178" fontId="0" fillId="2" borderId="31" xfId="0" applyNumberFormat="1" applyFill="1" applyBorder="1" applyAlignment="1">
      <alignment horizontal="center" vertical="center"/>
    </xf>
    <xf numFmtId="42" fontId="0" fillId="2" borderId="1" xfId="0" applyNumberForma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9" fillId="0" borderId="52" xfId="0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 wrapText="1"/>
    </xf>
    <xf numFmtId="0" fontId="19" fillId="0" borderId="37" xfId="0" applyFont="1" applyBorder="1" applyAlignment="1">
      <alignment horizontal="center" vertical="center" wrapText="1"/>
    </xf>
    <xf numFmtId="185" fontId="19" fillId="0" borderId="36" xfId="0" applyNumberFormat="1" applyFont="1" applyBorder="1" applyAlignment="1">
      <alignment horizontal="center" vertical="center"/>
    </xf>
    <xf numFmtId="185" fontId="19" fillId="0" borderId="44" xfId="0" applyNumberFormat="1" applyFont="1" applyBorder="1" applyAlignment="1">
      <alignment horizontal="center" vertical="center"/>
    </xf>
    <xf numFmtId="185" fontId="19" fillId="0" borderId="45" xfId="0" applyNumberFormat="1" applyFont="1" applyBorder="1" applyAlignment="1">
      <alignment horizontal="center" vertical="center"/>
    </xf>
    <xf numFmtId="185" fontId="19" fillId="0" borderId="50" xfId="0" applyNumberFormat="1" applyFont="1" applyBorder="1" applyAlignment="1">
      <alignment horizontal="center" vertical="center"/>
    </xf>
    <xf numFmtId="185" fontId="19" fillId="0" borderId="53" xfId="0" applyNumberFormat="1" applyFont="1" applyBorder="1" applyAlignment="1">
      <alignment horizontal="center" vertical="center"/>
    </xf>
    <xf numFmtId="185" fontId="19" fillId="0" borderId="54" xfId="0" applyNumberFormat="1" applyFont="1" applyBorder="1" applyAlignment="1">
      <alignment horizontal="center" vertical="center"/>
    </xf>
    <xf numFmtId="185" fontId="19" fillId="0" borderId="63" xfId="0" applyNumberFormat="1" applyFont="1" applyBorder="1" applyAlignment="1">
      <alignment horizontal="center" vertical="center"/>
    </xf>
    <xf numFmtId="185" fontId="19" fillId="0" borderId="60" xfId="0" applyNumberFormat="1" applyFont="1" applyBorder="1" applyAlignment="1">
      <alignment horizontal="center" vertical="center"/>
    </xf>
    <xf numFmtId="185" fontId="19" fillId="0" borderId="62" xfId="0" applyNumberFormat="1" applyFont="1" applyBorder="1" applyAlignment="1">
      <alignment horizontal="center" vertical="center"/>
    </xf>
    <xf numFmtId="178" fontId="0" fillId="2" borderId="55" xfId="0" applyNumberFormat="1" applyFill="1" applyBorder="1" applyAlignment="1">
      <alignment horizontal="center" vertical="center"/>
    </xf>
    <xf numFmtId="178" fontId="0" fillId="2" borderId="51" xfId="0" applyNumberFormat="1" applyFill="1" applyBorder="1" applyAlignment="1">
      <alignment horizontal="center" vertical="center"/>
    </xf>
    <xf numFmtId="178" fontId="0" fillId="2" borderId="0" xfId="0" applyNumberFormat="1" applyFill="1" applyBorder="1" applyAlignment="1">
      <alignment horizontal="center" vertical="center"/>
    </xf>
    <xf numFmtId="178" fontId="0" fillId="2" borderId="43" xfId="0" applyNumberFormat="1" applyFill="1" applyBorder="1" applyAlignment="1">
      <alignment horizontal="center" vertical="center"/>
    </xf>
    <xf numFmtId="0" fontId="19" fillId="0" borderId="45" xfId="0" applyFont="1" applyBorder="1" applyAlignment="1">
      <alignment horizontal="center" vertical="center" wrapText="1"/>
    </xf>
    <xf numFmtId="185" fontId="19" fillId="0" borderId="66" xfId="0" applyNumberFormat="1" applyFont="1" applyBorder="1" applyAlignment="1">
      <alignment horizontal="center" vertical="center"/>
    </xf>
    <xf numFmtId="178" fontId="0" fillId="2" borderId="39" xfId="0" applyNumberFormat="1" applyFill="1" applyBorder="1" applyAlignment="1">
      <alignment horizontal="center" vertical="center"/>
    </xf>
    <xf numFmtId="178" fontId="0" fillId="2" borderId="34" xfId="0" applyNumberFormat="1" applyFill="1" applyBorder="1" applyAlignment="1">
      <alignment horizontal="center" vertical="center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2" fillId="8" borderId="32" xfId="0" applyFont="1" applyFill="1" applyBorder="1" applyAlignment="1">
      <alignment horizontal="center" vertical="center" wrapText="1"/>
    </xf>
    <xf numFmtId="0" fontId="22" fillId="8" borderId="46" xfId="0" applyFont="1" applyFill="1" applyBorder="1" applyAlignment="1">
      <alignment horizontal="center" vertical="center" wrapText="1"/>
    </xf>
    <xf numFmtId="0" fontId="22" fillId="8" borderId="31" xfId="0" applyFont="1" applyFill="1" applyBorder="1" applyAlignment="1">
      <alignment horizontal="center" vertical="center" wrapText="1"/>
    </xf>
    <xf numFmtId="0" fontId="22" fillId="4" borderId="32" xfId="0" applyFont="1" applyFill="1" applyBorder="1" applyAlignment="1">
      <alignment horizontal="center" vertical="center" wrapText="1"/>
    </xf>
    <xf numFmtId="0" fontId="22" fillId="4" borderId="46" xfId="0" applyFont="1" applyFill="1" applyBorder="1" applyAlignment="1">
      <alignment horizontal="center" vertical="center" wrapText="1"/>
    </xf>
    <xf numFmtId="0" fontId="22" fillId="9" borderId="56" xfId="0" applyFont="1" applyFill="1" applyBorder="1" applyAlignment="1">
      <alignment horizontal="center" vertical="center" wrapText="1"/>
    </xf>
    <xf numFmtId="0" fontId="22" fillId="9" borderId="57" xfId="0" applyFont="1" applyFill="1" applyBorder="1" applyAlignment="1">
      <alignment horizontal="center" vertical="center" wrapText="1"/>
    </xf>
    <xf numFmtId="0" fontId="22" fillId="9" borderId="58" xfId="0" applyFont="1" applyFill="1" applyBorder="1" applyAlignment="1">
      <alignment horizontal="center" vertical="center" wrapText="1"/>
    </xf>
    <xf numFmtId="0" fontId="22" fillId="8" borderId="38" xfId="0" applyFont="1" applyFill="1" applyBorder="1" applyAlignment="1">
      <alignment horizontal="center" vertical="center" wrapText="1"/>
    </xf>
    <xf numFmtId="0" fontId="19" fillId="0" borderId="36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78" fontId="0" fillId="2" borderId="25" xfId="0" applyNumberFormat="1" applyFill="1" applyBorder="1" applyAlignment="1">
      <alignment horizontal="center" vertical="center"/>
    </xf>
    <xf numFmtId="178" fontId="0" fillId="2" borderId="26" xfId="0" applyNumberFormat="1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181" fontId="0" fillId="0" borderId="22" xfId="0" applyNumberFormat="1" applyFill="1" applyBorder="1" applyAlignment="1">
      <alignment horizontal="center" vertical="center"/>
    </xf>
    <xf numFmtId="181" fontId="0" fillId="0" borderId="23" xfId="0" applyNumberFormat="1" applyFill="1" applyBorder="1" applyAlignment="1">
      <alignment horizontal="center" vertical="center"/>
    </xf>
    <xf numFmtId="181" fontId="0" fillId="0" borderId="24" xfId="0" applyNumberFormat="1" applyFill="1" applyBorder="1" applyAlignment="1">
      <alignment horizontal="center" vertical="center"/>
    </xf>
    <xf numFmtId="178" fontId="0" fillId="0" borderId="19" xfId="0" applyNumberFormat="1" applyFill="1" applyBorder="1" applyAlignment="1">
      <alignment horizontal="right" vertical="center"/>
    </xf>
    <xf numFmtId="178" fontId="0" fillId="0" borderId="20" xfId="0" applyNumberFormat="1" applyFill="1" applyBorder="1" applyAlignment="1">
      <alignment horizontal="right" vertical="center"/>
    </xf>
    <xf numFmtId="178" fontId="0" fillId="0" borderId="21" xfId="0" applyNumberFormat="1" applyFill="1" applyBorder="1" applyAlignment="1">
      <alignment horizontal="right" vertical="center"/>
    </xf>
    <xf numFmtId="0" fontId="0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</cellXfs>
  <cellStyles count="3">
    <cellStyle name="쉼표 [0] 2" xfId="2"/>
    <cellStyle name="표준" xfId="0" builtinId="0"/>
    <cellStyle name="표준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807720</xdr:colOff>
      <xdr:row>32</xdr:row>
      <xdr:rowOff>41161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112521"/>
        </a:xfrm>
        <a:prstGeom prst="rect">
          <a:avLst/>
        </a:prstGeom>
      </xdr:spPr>
    </xdr:pic>
    <xdr:clientData/>
  </xdr:twoCellAnchor>
  <xdr:twoCellAnchor editAs="oneCell">
    <xdr:from>
      <xdr:col>14</xdr:col>
      <xdr:colOff>500743</xdr:colOff>
      <xdr:row>0</xdr:row>
      <xdr:rowOff>0</xdr:rowOff>
    </xdr:from>
    <xdr:to>
      <xdr:col>28</xdr:col>
      <xdr:colOff>20683</xdr:colOff>
      <xdr:row>32</xdr:row>
      <xdr:rowOff>41161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9543" y="0"/>
          <a:ext cx="10123714" cy="70080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10885</xdr:rowOff>
    </xdr:from>
    <xdr:to>
      <xdr:col>12</xdr:col>
      <xdr:colOff>807720</xdr:colOff>
      <xdr:row>64</xdr:row>
      <xdr:rowOff>52046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77742"/>
          <a:ext cx="10123714" cy="7008018"/>
        </a:xfrm>
        <a:prstGeom prst="rect">
          <a:avLst/>
        </a:prstGeom>
      </xdr:spPr>
    </xdr:pic>
    <xdr:clientData/>
  </xdr:twoCellAnchor>
  <xdr:twoCellAnchor editAs="oneCell">
    <xdr:from>
      <xdr:col>14</xdr:col>
      <xdr:colOff>569742</xdr:colOff>
      <xdr:row>32</xdr:row>
      <xdr:rowOff>8040</xdr:rowOff>
    </xdr:from>
    <xdr:to>
      <xdr:col>28</xdr:col>
      <xdr:colOff>89682</xdr:colOff>
      <xdr:row>64</xdr:row>
      <xdr:rowOff>49201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8542" y="6974897"/>
          <a:ext cx="10123714" cy="70080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198120</xdr:colOff>
      <xdr:row>0</xdr:row>
      <xdr:rowOff>213360</xdr:rowOff>
    </xdr:from>
    <xdr:to>
      <xdr:col>15</xdr:col>
      <xdr:colOff>198120</xdr:colOff>
      <xdr:row>33</xdr:row>
      <xdr:rowOff>33890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70885" y="-1259405"/>
          <a:ext cx="7112870" cy="10058400"/>
        </a:xfrm>
        <a:prstGeom prst="rect">
          <a:avLst/>
        </a:prstGeom>
      </xdr:spPr>
    </xdr:pic>
    <xdr:clientData/>
  </xdr:twoCellAnchor>
  <xdr:twoCellAnchor editAs="oneCell">
    <xdr:from>
      <xdr:col>15</xdr:col>
      <xdr:colOff>241440</xdr:colOff>
      <xdr:row>0</xdr:row>
      <xdr:rowOff>188100</xdr:rowOff>
    </xdr:from>
    <xdr:to>
      <xdr:col>30</xdr:col>
      <xdr:colOff>241440</xdr:colOff>
      <xdr:row>33</xdr:row>
      <xdr:rowOff>8630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772605" y="-1284665"/>
          <a:ext cx="711287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68:Y85"/>
  <sheetViews>
    <sheetView tabSelected="1" zoomScale="85" zoomScaleNormal="85" workbookViewId="0">
      <selection activeCell="I73" sqref="I73"/>
    </sheetView>
  </sheetViews>
  <sheetFormatPr defaultRowHeight="17.399999999999999" x14ac:dyDescent="0.4"/>
  <cols>
    <col min="5" max="5" width="11.69921875" bestFit="1" customWidth="1"/>
    <col min="6" max="6" width="12" bestFit="1" customWidth="1"/>
    <col min="7" max="7" width="12.796875" bestFit="1" customWidth="1"/>
    <col min="9" max="9" width="11.69921875" bestFit="1" customWidth="1"/>
    <col min="11" max="11" width="9.59765625" bestFit="1" customWidth="1"/>
    <col min="12" max="12" width="10.796875" bestFit="1" customWidth="1"/>
    <col min="13" max="13" width="10.8984375" bestFit="1" customWidth="1"/>
    <col min="15" max="15" width="9.59765625" bestFit="1" customWidth="1"/>
    <col min="16" max="16" width="12.19921875" bestFit="1" customWidth="1"/>
    <col min="17" max="17" width="10.8984375" bestFit="1" customWidth="1"/>
    <col min="19" max="19" width="9.59765625" bestFit="1" customWidth="1"/>
    <col min="20" max="20" width="10.69921875" bestFit="1" customWidth="1"/>
    <col min="21" max="21" width="10.8984375" bestFit="1" customWidth="1"/>
    <col min="24" max="24" width="10.69921875" bestFit="1" customWidth="1"/>
    <col min="25" max="25" width="10.8984375" bestFit="1" customWidth="1"/>
  </cols>
  <sheetData>
    <row r="68" spans="4:25" x14ac:dyDescent="0.4">
      <c r="D68" s="1"/>
      <c r="E68" s="1"/>
      <c r="F68" s="1"/>
      <c r="G68" s="1"/>
    </row>
    <row r="69" spans="4:25" x14ac:dyDescent="0.4">
      <c r="D69" s="1"/>
      <c r="E69" s="1" t="s">
        <v>135</v>
      </c>
      <c r="F69" s="1" t="s">
        <v>136</v>
      </c>
      <c r="G69" s="1"/>
      <c r="L69" t="s">
        <v>126</v>
      </c>
      <c r="M69" t="s">
        <v>127</v>
      </c>
      <c r="P69" t="s">
        <v>126</v>
      </c>
      <c r="Q69" t="s">
        <v>127</v>
      </c>
      <c r="T69" t="s">
        <v>126</v>
      </c>
      <c r="U69" t="s">
        <v>127</v>
      </c>
      <c r="X69" t="s">
        <v>126</v>
      </c>
      <c r="Y69" t="s">
        <v>127</v>
      </c>
    </row>
    <row r="70" spans="4:25" x14ac:dyDescent="0.4">
      <c r="D70" s="1" t="s">
        <v>140</v>
      </c>
      <c r="E70" s="147">
        <v>61500000</v>
      </c>
      <c r="F70" s="148">
        <f>E70-SUM(E72:E83)</f>
        <v>41756780</v>
      </c>
      <c r="G70" s="1"/>
      <c r="H70" s="140"/>
      <c r="I70" s="140"/>
      <c r="K70" t="s">
        <v>125</v>
      </c>
      <c r="L70" s="140">
        <v>1500000</v>
      </c>
      <c r="M70" s="142">
        <f>L70-SUM(L71:L80)</f>
        <v>1149700</v>
      </c>
      <c r="O70" t="s">
        <v>137</v>
      </c>
      <c r="P70" s="140">
        <v>4686000</v>
      </c>
      <c r="Q70" s="142">
        <f>P70-SUM(P71:P83)</f>
        <v>3033400</v>
      </c>
      <c r="S70" t="s">
        <v>138</v>
      </c>
      <c r="T70" s="140">
        <v>2000000</v>
      </c>
      <c r="U70" s="142">
        <f>T70-SUM(T71:T83)</f>
        <v>2000000</v>
      </c>
      <c r="W70" t="s">
        <v>139</v>
      </c>
      <c r="X70" s="140">
        <v>800000</v>
      </c>
      <c r="Y70" s="142">
        <f>X70-SUM(X71:X83)</f>
        <v>800000</v>
      </c>
    </row>
    <row r="71" spans="4:25" x14ac:dyDescent="0.4">
      <c r="D71" s="1"/>
      <c r="E71" s="1" t="s">
        <v>134</v>
      </c>
      <c r="F71" s="1"/>
      <c r="G71" s="1"/>
      <c r="H71" s="140"/>
      <c r="I71" s="140"/>
      <c r="K71" s="141">
        <v>44313</v>
      </c>
      <c r="L71" s="139">
        <v>52000</v>
      </c>
      <c r="M71" s="140"/>
      <c r="O71" s="141">
        <v>44344</v>
      </c>
      <c r="P71" s="139">
        <v>212400</v>
      </c>
      <c r="Q71" s="140"/>
      <c r="S71" s="141"/>
      <c r="T71" s="139"/>
      <c r="U71" s="140"/>
      <c r="W71" s="141"/>
      <c r="X71" s="139"/>
      <c r="Y71" s="140"/>
    </row>
    <row r="72" spans="4:25" x14ac:dyDescent="0.4">
      <c r="D72" s="146" t="s">
        <v>128</v>
      </c>
      <c r="E72" s="147">
        <v>178000</v>
      </c>
      <c r="F72" s="147"/>
      <c r="G72" s="147"/>
      <c r="H72" s="140"/>
      <c r="I72" s="140"/>
      <c r="K72" s="141">
        <v>44426</v>
      </c>
      <c r="L72" s="139">
        <v>298300</v>
      </c>
      <c r="M72" s="140"/>
      <c r="O72" s="141">
        <v>44400</v>
      </c>
      <c r="P72" s="139">
        <v>111000</v>
      </c>
      <c r="Q72" s="140"/>
      <c r="S72" s="141"/>
      <c r="T72" s="139"/>
      <c r="U72" s="140"/>
      <c r="W72" s="141"/>
      <c r="X72" s="139"/>
      <c r="Y72" s="140"/>
    </row>
    <row r="73" spans="4:25" x14ac:dyDescent="0.4">
      <c r="D73" s="146" t="s">
        <v>129</v>
      </c>
      <c r="E73" s="147">
        <v>898040</v>
      </c>
      <c r="F73" s="147"/>
      <c r="G73" s="147"/>
      <c r="H73" s="140"/>
      <c r="I73" s="140"/>
      <c r="L73" s="139"/>
      <c r="M73" s="140"/>
      <c r="O73" s="141">
        <v>44452</v>
      </c>
      <c r="P73" s="139">
        <v>339200</v>
      </c>
      <c r="Q73" s="140"/>
      <c r="T73" s="139"/>
      <c r="U73" s="140"/>
      <c r="X73" s="139"/>
      <c r="Y73" s="140"/>
    </row>
    <row r="74" spans="4:25" x14ac:dyDescent="0.4">
      <c r="D74" s="146" t="s">
        <v>130</v>
      </c>
      <c r="E74" s="147">
        <v>1432430</v>
      </c>
      <c r="F74" s="147"/>
      <c r="G74" s="147"/>
      <c r="H74" s="140"/>
      <c r="I74" s="140"/>
      <c r="L74" s="139"/>
      <c r="M74" s="140"/>
      <c r="O74" s="141">
        <v>44462</v>
      </c>
      <c r="P74" s="139">
        <v>990000</v>
      </c>
      <c r="Q74" s="140"/>
      <c r="T74" s="139"/>
      <c r="U74" s="140"/>
      <c r="X74" s="139"/>
      <c r="Y74" s="140"/>
    </row>
    <row r="75" spans="4:25" x14ac:dyDescent="0.4">
      <c r="D75" s="146" t="s">
        <v>131</v>
      </c>
      <c r="E75" s="147">
        <v>4969390</v>
      </c>
      <c r="F75" s="147"/>
      <c r="G75" s="147"/>
      <c r="H75" s="140"/>
      <c r="I75" s="140"/>
      <c r="L75" s="139"/>
      <c r="M75" s="140"/>
      <c r="P75" s="139"/>
      <c r="Q75" s="140"/>
      <c r="T75" s="139"/>
      <c r="U75" s="140"/>
      <c r="X75" s="139"/>
      <c r="Y75" s="140"/>
    </row>
    <row r="76" spans="4:25" x14ac:dyDescent="0.4">
      <c r="D76" s="146" t="s">
        <v>132</v>
      </c>
      <c r="E76" s="147">
        <v>1977470</v>
      </c>
      <c r="F76" s="147"/>
      <c r="G76" s="147"/>
      <c r="H76" s="140"/>
      <c r="I76" s="140"/>
      <c r="L76" s="139"/>
      <c r="M76" s="140"/>
      <c r="P76" s="139"/>
      <c r="Q76" s="140"/>
      <c r="T76" s="139"/>
      <c r="U76" s="140"/>
      <c r="X76" s="139"/>
      <c r="Y76" s="140"/>
    </row>
    <row r="77" spans="4:25" x14ac:dyDescent="0.4">
      <c r="D77" s="146" t="s">
        <v>133</v>
      </c>
      <c r="E77" s="147">
        <v>5287890</v>
      </c>
      <c r="F77" s="147"/>
      <c r="G77" s="147"/>
      <c r="H77" s="140"/>
      <c r="I77" s="140"/>
      <c r="P77" s="138"/>
    </row>
    <row r="78" spans="4:25" x14ac:dyDescent="0.4">
      <c r="D78" s="149" t="s">
        <v>144</v>
      </c>
      <c r="E78" s="150">
        <v>5000000</v>
      </c>
      <c r="F78" s="147"/>
      <c r="G78" s="147"/>
      <c r="P78" s="138"/>
    </row>
    <row r="79" spans="4:25" x14ac:dyDescent="0.4">
      <c r="D79" s="146">
        <v>8</v>
      </c>
      <c r="E79" s="1"/>
      <c r="F79" s="1"/>
      <c r="G79" s="1"/>
    </row>
    <row r="80" spans="4:25" x14ac:dyDescent="0.4">
      <c r="D80" s="146">
        <v>9</v>
      </c>
      <c r="E80" s="1"/>
      <c r="F80" s="1"/>
      <c r="G80" s="1"/>
    </row>
    <row r="81" spans="4:7" x14ac:dyDescent="0.4">
      <c r="D81" s="146">
        <v>10</v>
      </c>
      <c r="E81" s="1"/>
      <c r="F81" s="1"/>
      <c r="G81" s="1"/>
    </row>
    <row r="82" spans="4:7" x14ac:dyDescent="0.4">
      <c r="D82" s="146">
        <v>11</v>
      </c>
      <c r="E82" s="1"/>
      <c r="F82" s="1"/>
      <c r="G82" s="1"/>
    </row>
    <row r="83" spans="4:7" x14ac:dyDescent="0.4">
      <c r="D83" s="146">
        <v>12</v>
      </c>
      <c r="E83" s="1"/>
      <c r="F83" s="1"/>
      <c r="G83" s="1"/>
    </row>
    <row r="84" spans="4:7" x14ac:dyDescent="0.4">
      <c r="D84" s="1"/>
      <c r="E84" s="1"/>
      <c r="F84" s="1"/>
      <c r="G84" s="1"/>
    </row>
    <row r="85" spans="4:7" x14ac:dyDescent="0.4">
      <c r="D85" s="1"/>
      <c r="E85" s="147">
        <f>SUM(E72:E83)</f>
        <v>19743220</v>
      </c>
      <c r="F85" s="147"/>
      <c r="G85" s="147"/>
    </row>
  </sheetData>
  <phoneticPr fontId="1" type="noConversion"/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13"/>
  <sheetViews>
    <sheetView topLeftCell="D1" zoomScale="115" zoomScaleNormal="115" workbookViewId="0">
      <selection activeCell="H7" sqref="H7"/>
    </sheetView>
  </sheetViews>
  <sheetFormatPr defaultRowHeight="17.399999999999999" x14ac:dyDescent="0.4"/>
  <cols>
    <col min="1" max="1" width="8.796875" style="4"/>
    <col min="2" max="2" width="10.69921875" style="4" bestFit="1" customWidth="1"/>
    <col min="3" max="3" width="10.5" style="4" customWidth="1"/>
    <col min="4" max="4" width="10.69921875" style="4" bestFit="1" customWidth="1"/>
    <col min="5" max="5" width="8.796875" style="4"/>
    <col min="6" max="6" width="9.59765625" style="4" bestFit="1" customWidth="1"/>
    <col min="7" max="7" width="8.796875" style="4"/>
    <col min="8" max="8" width="10.8984375" style="4" bestFit="1" customWidth="1"/>
    <col min="9" max="9" width="9.69921875" style="4" bestFit="1" customWidth="1"/>
    <col min="10" max="16384" width="8.796875" style="4"/>
  </cols>
  <sheetData>
    <row r="4" spans="1:9" x14ac:dyDescent="0.4">
      <c r="E4" s="5"/>
      <c r="F4" s="6" t="s">
        <v>22</v>
      </c>
      <c r="G4" s="6" t="s">
        <v>24</v>
      </c>
      <c r="H4" s="5" t="s">
        <v>23</v>
      </c>
      <c r="I4" s="5" t="s">
        <v>26</v>
      </c>
    </row>
    <row r="5" spans="1:9" x14ac:dyDescent="0.4">
      <c r="E5" s="5" t="s">
        <v>18</v>
      </c>
      <c r="F5" s="3">
        <v>58900</v>
      </c>
      <c r="G5" s="8">
        <v>7</v>
      </c>
      <c r="H5" s="3">
        <f>F5*G5</f>
        <v>412300</v>
      </c>
      <c r="I5" s="6" t="s">
        <v>42</v>
      </c>
    </row>
    <row r="6" spans="1:9" x14ac:dyDescent="0.4">
      <c r="E6" s="5" t="s">
        <v>19</v>
      </c>
      <c r="F6" s="3">
        <v>12420</v>
      </c>
      <c r="G6" s="8">
        <v>7</v>
      </c>
      <c r="H6" s="3">
        <f>F6*G6</f>
        <v>86940</v>
      </c>
      <c r="I6" s="27" t="s">
        <v>41</v>
      </c>
    </row>
    <row r="7" spans="1:9" x14ac:dyDescent="0.4">
      <c r="E7" s="5" t="s">
        <v>20</v>
      </c>
      <c r="F7" s="3">
        <v>12720</v>
      </c>
      <c r="G7" s="8">
        <v>7</v>
      </c>
      <c r="H7" s="3">
        <f>F7*G7</f>
        <v>89040</v>
      </c>
      <c r="I7" s="27" t="s">
        <v>42</v>
      </c>
    </row>
    <row r="8" spans="1:9" x14ac:dyDescent="0.4">
      <c r="E8" s="5" t="s">
        <v>21</v>
      </c>
      <c r="F8" s="3">
        <v>39000</v>
      </c>
      <c r="G8" s="8">
        <v>4</v>
      </c>
      <c r="H8" s="3">
        <f>F8*G8+2300</f>
        <v>158300</v>
      </c>
      <c r="I8" s="6" t="s">
        <v>43</v>
      </c>
    </row>
    <row r="9" spans="1:9" ht="19.8" x14ac:dyDescent="0.4">
      <c r="E9" s="5" t="s">
        <v>25</v>
      </c>
      <c r="F9" s="9"/>
      <c r="G9" s="10"/>
      <c r="H9" s="11">
        <f>SUM(H5:H8)</f>
        <v>746580</v>
      </c>
      <c r="I9" s="5"/>
    </row>
    <row r="12" spans="1:9" x14ac:dyDescent="0.4">
      <c r="A12" s="7"/>
      <c r="B12" s="7"/>
      <c r="C12" s="7"/>
      <c r="D12" s="7"/>
      <c r="E12" s="7"/>
    </row>
    <row r="13" spans="1:9" x14ac:dyDescent="0.4">
      <c r="A13" s="7"/>
      <c r="B13" s="7"/>
      <c r="C13" s="7"/>
      <c r="D13" s="7"/>
      <c r="E13" s="7"/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"/>
  <sheetViews>
    <sheetView workbookViewId="0">
      <selection activeCell="H13" sqref="H13"/>
    </sheetView>
  </sheetViews>
  <sheetFormatPr defaultRowHeight="17.399999999999999" x14ac:dyDescent="0.4"/>
  <cols>
    <col min="1" max="1" width="11.796875" style="7" bestFit="1" customWidth="1"/>
    <col min="2" max="2" width="14.8984375" style="7" bestFit="1" customWidth="1"/>
    <col min="3" max="3" width="13.796875" style="7" bestFit="1" customWidth="1"/>
    <col min="4" max="4" width="14.8984375" style="7" bestFit="1" customWidth="1"/>
    <col min="5" max="5" width="14.8984375" style="7" customWidth="1"/>
    <col min="6" max="6" width="8.796875" style="7"/>
    <col min="7" max="7" width="12.69921875" style="7" bestFit="1" customWidth="1"/>
    <col min="8" max="8" width="12.296875" style="7" bestFit="1" customWidth="1"/>
    <col min="9" max="9" width="12.296875" style="7" customWidth="1"/>
    <col min="10" max="10" width="15.69921875" style="7" bestFit="1" customWidth="1"/>
    <col min="11" max="11" width="15.8984375" style="7" bestFit="1" customWidth="1"/>
    <col min="12" max="12" width="8.796875" style="7"/>
    <col min="13" max="14" width="13.296875" style="7" bestFit="1" customWidth="1"/>
    <col min="15" max="17" width="8.796875" style="7"/>
    <col min="18" max="18" width="15.8984375" style="7" bestFit="1" customWidth="1"/>
    <col min="19" max="19" width="5.19921875" style="7" bestFit="1" customWidth="1"/>
    <col min="20" max="21" width="13.296875" style="7" bestFit="1" customWidth="1"/>
    <col min="22" max="22" width="5.19921875" style="7" bestFit="1" customWidth="1"/>
    <col min="23" max="16384" width="8.796875" style="7"/>
  </cols>
  <sheetData>
    <row r="1" spans="1:22" x14ac:dyDescent="0.4">
      <c r="A1" s="151" t="s">
        <v>98</v>
      </c>
      <c r="B1" s="152"/>
      <c r="C1" s="152"/>
      <c r="D1" s="153"/>
      <c r="E1" s="70"/>
      <c r="F1" s="158"/>
      <c r="G1" s="154" t="s">
        <v>16</v>
      </c>
      <c r="H1" s="155"/>
      <c r="I1" s="156"/>
      <c r="J1" s="157"/>
    </row>
    <row r="2" spans="1:22" x14ac:dyDescent="0.4">
      <c r="A2" s="13"/>
      <c r="B2" s="5" t="s">
        <v>13</v>
      </c>
      <c r="C2" s="71" t="s">
        <v>14</v>
      </c>
      <c r="D2" s="14" t="s">
        <v>15</v>
      </c>
      <c r="E2" s="70"/>
      <c r="F2" s="159"/>
      <c r="G2" s="13" t="s">
        <v>49</v>
      </c>
      <c r="H2" s="5" t="s">
        <v>50</v>
      </c>
      <c r="I2" s="72" t="s">
        <v>97</v>
      </c>
      <c r="J2" s="14" t="s">
        <v>51</v>
      </c>
    </row>
    <row r="3" spans="1:22" x14ac:dyDescent="0.4">
      <c r="A3" s="13" t="s">
        <v>1</v>
      </c>
      <c r="B3" s="73"/>
      <c r="C3" s="74">
        <f>D3-B3</f>
        <v>75398000</v>
      </c>
      <c r="D3" s="75">
        <v>75398000</v>
      </c>
      <c r="E3" s="76"/>
      <c r="F3" s="77" t="s">
        <v>1</v>
      </c>
      <c r="G3" s="78">
        <v>1289000</v>
      </c>
      <c r="H3" s="79">
        <v>1424260</v>
      </c>
      <c r="I3" s="86">
        <f>B3</f>
        <v>0</v>
      </c>
      <c r="J3" s="80"/>
      <c r="R3" s="25">
        <f t="shared" ref="R3:R14" si="0">H3*1.27</f>
        <v>1808810.2</v>
      </c>
      <c r="S3" s="123">
        <v>1</v>
      </c>
      <c r="T3" s="25">
        <f>ROUNDUP(R3, -4)</f>
        <v>1810000</v>
      </c>
      <c r="U3" s="107">
        <f>1810000+750000+4000</f>
        <v>2564000</v>
      </c>
      <c r="V3" s="124">
        <v>1</v>
      </c>
    </row>
    <row r="4" spans="1:22" x14ac:dyDescent="0.4">
      <c r="A4" s="13" t="s">
        <v>2</v>
      </c>
      <c r="B4" s="81"/>
      <c r="C4" s="74">
        <f>C3-B4</f>
        <v>75398000</v>
      </c>
      <c r="D4" s="75"/>
      <c r="E4" s="76"/>
      <c r="F4" s="77" t="s">
        <v>2</v>
      </c>
      <c r="G4" s="78">
        <v>2298000</v>
      </c>
      <c r="H4" s="82">
        <v>2003920</v>
      </c>
      <c r="I4" s="86">
        <f t="shared" ref="I4:I14" si="1">B4</f>
        <v>0</v>
      </c>
      <c r="J4" s="80"/>
      <c r="R4" s="25">
        <f t="shared" si="0"/>
        <v>2544978.4</v>
      </c>
      <c r="S4" s="123">
        <v>2</v>
      </c>
      <c r="T4" s="25">
        <f t="shared" ref="T4:T14" si="2">ROUNDUP(R4, -4)</f>
        <v>2550000</v>
      </c>
      <c r="U4" s="107">
        <f>2550000+1000000+500000+750000+34000</f>
        <v>4834000</v>
      </c>
      <c r="V4" s="124">
        <v>2</v>
      </c>
    </row>
    <row r="5" spans="1:22" x14ac:dyDescent="0.4">
      <c r="A5" s="13" t="s">
        <v>3</v>
      </c>
      <c r="B5" s="81"/>
      <c r="C5" s="74">
        <f t="shared" ref="C5:C14" si="3">C4-B5</f>
        <v>75398000</v>
      </c>
      <c r="D5" s="83"/>
      <c r="E5" s="84"/>
      <c r="F5" s="77" t="s">
        <v>3</v>
      </c>
      <c r="G5" s="78">
        <v>2371000</v>
      </c>
      <c r="H5" s="82">
        <v>6642270</v>
      </c>
      <c r="I5" s="86">
        <f t="shared" si="1"/>
        <v>0</v>
      </c>
      <c r="J5" s="80"/>
      <c r="R5" s="25">
        <f t="shared" si="0"/>
        <v>8435682.9000000004</v>
      </c>
      <c r="S5" s="123">
        <v>3</v>
      </c>
      <c r="T5" s="25">
        <f t="shared" si="2"/>
        <v>8440000</v>
      </c>
      <c r="U5" s="107">
        <f>8440000-600000</f>
        <v>7840000</v>
      </c>
      <c r="V5" s="124">
        <v>3</v>
      </c>
    </row>
    <row r="6" spans="1:22" x14ac:dyDescent="0.4">
      <c r="A6" s="13" t="s">
        <v>44</v>
      </c>
      <c r="B6" s="81"/>
      <c r="C6" s="74">
        <f t="shared" si="3"/>
        <v>75398000</v>
      </c>
      <c r="D6" s="75"/>
      <c r="E6" s="76"/>
      <c r="F6" s="77" t="s">
        <v>4</v>
      </c>
      <c r="G6" s="78">
        <v>6405000</v>
      </c>
      <c r="H6" s="82">
        <v>6082090</v>
      </c>
      <c r="I6" s="86">
        <f t="shared" si="1"/>
        <v>0</v>
      </c>
      <c r="J6" s="80"/>
      <c r="R6" s="25">
        <f t="shared" si="0"/>
        <v>7724254.2999999998</v>
      </c>
      <c r="S6" s="123">
        <v>4</v>
      </c>
      <c r="T6" s="25">
        <f t="shared" si="2"/>
        <v>7730000</v>
      </c>
      <c r="U6" s="107">
        <f>7730000</f>
        <v>7730000</v>
      </c>
      <c r="V6" s="124">
        <v>4</v>
      </c>
    </row>
    <row r="7" spans="1:22" x14ac:dyDescent="0.4">
      <c r="A7" s="13" t="s">
        <v>5</v>
      </c>
      <c r="B7" s="85"/>
      <c r="C7" s="74">
        <f t="shared" si="3"/>
        <v>75398000</v>
      </c>
      <c r="D7" s="75"/>
      <c r="E7" s="76"/>
      <c r="F7" s="77" t="s">
        <v>5</v>
      </c>
      <c r="G7" s="78">
        <v>4866000</v>
      </c>
      <c r="H7" s="86">
        <v>5809610</v>
      </c>
      <c r="I7" s="86">
        <f t="shared" si="1"/>
        <v>0</v>
      </c>
      <c r="J7" s="80"/>
      <c r="R7" s="25">
        <f t="shared" si="0"/>
        <v>7378204.7000000002</v>
      </c>
      <c r="S7" s="123">
        <v>5</v>
      </c>
      <c r="T7" s="25">
        <f t="shared" si="2"/>
        <v>7380000</v>
      </c>
      <c r="U7" s="107">
        <f>7600000</f>
        <v>7600000</v>
      </c>
      <c r="V7" s="124">
        <v>5</v>
      </c>
    </row>
    <row r="8" spans="1:22" x14ac:dyDescent="0.4">
      <c r="A8" s="13" t="s">
        <v>6</v>
      </c>
      <c r="B8" s="81"/>
      <c r="C8" s="74">
        <f t="shared" si="3"/>
        <v>75398000</v>
      </c>
      <c r="D8" s="75"/>
      <c r="E8" s="76"/>
      <c r="F8" s="77" t="s">
        <v>6</v>
      </c>
      <c r="G8" s="78">
        <v>5116000</v>
      </c>
      <c r="H8" s="82">
        <v>7417120</v>
      </c>
      <c r="I8" s="86">
        <f t="shared" si="1"/>
        <v>0</v>
      </c>
      <c r="J8" s="80"/>
      <c r="R8" s="25">
        <f t="shared" si="0"/>
        <v>9419742.4000000004</v>
      </c>
      <c r="S8" s="123">
        <v>6</v>
      </c>
      <c r="T8" s="25">
        <f t="shared" si="2"/>
        <v>9420000</v>
      </c>
      <c r="U8" s="107">
        <f>9420000-1500000</f>
        <v>7920000</v>
      </c>
      <c r="V8" s="124">
        <v>6</v>
      </c>
    </row>
    <row r="9" spans="1:22" x14ac:dyDescent="0.4">
      <c r="A9" s="13" t="s">
        <v>7</v>
      </c>
      <c r="B9" s="81"/>
      <c r="C9" s="74">
        <f t="shared" si="3"/>
        <v>75398000</v>
      </c>
      <c r="D9" s="75"/>
      <c r="E9" s="76"/>
      <c r="F9" s="77" t="s">
        <v>7</v>
      </c>
      <c r="G9" s="78">
        <v>4213000</v>
      </c>
      <c r="H9" s="82">
        <v>5259310</v>
      </c>
      <c r="I9" s="86">
        <f t="shared" si="1"/>
        <v>0</v>
      </c>
      <c r="J9" s="80"/>
      <c r="R9" s="25">
        <f t="shared" si="0"/>
        <v>6679323.7000000002</v>
      </c>
      <c r="S9" s="123">
        <v>7</v>
      </c>
      <c r="T9" s="25">
        <f t="shared" si="2"/>
        <v>6680000</v>
      </c>
      <c r="U9" s="107">
        <f>6680000+600000</f>
        <v>7280000</v>
      </c>
      <c r="V9" s="124">
        <v>7</v>
      </c>
    </row>
    <row r="10" spans="1:22" x14ac:dyDescent="0.4">
      <c r="A10" s="13" t="s">
        <v>8</v>
      </c>
      <c r="B10" s="81"/>
      <c r="C10" s="74">
        <f t="shared" si="3"/>
        <v>75398000</v>
      </c>
      <c r="D10" s="75"/>
      <c r="E10" s="76"/>
      <c r="F10" s="77" t="s">
        <v>8</v>
      </c>
      <c r="G10" s="78">
        <v>651000</v>
      </c>
      <c r="H10" s="82">
        <v>2406810</v>
      </c>
      <c r="I10" s="86">
        <f t="shared" si="1"/>
        <v>0</v>
      </c>
      <c r="J10" s="80"/>
      <c r="R10" s="25">
        <f t="shared" si="0"/>
        <v>3056648.7</v>
      </c>
      <c r="S10" s="123">
        <v>8</v>
      </c>
      <c r="T10" s="25">
        <f t="shared" si="2"/>
        <v>3060000</v>
      </c>
      <c r="U10" s="107">
        <f>3060000</f>
        <v>3060000</v>
      </c>
      <c r="V10" s="124">
        <v>8</v>
      </c>
    </row>
    <row r="11" spans="1:22" x14ac:dyDescent="0.4">
      <c r="A11" s="13" t="s">
        <v>9</v>
      </c>
      <c r="B11" s="81"/>
      <c r="C11" s="74">
        <f t="shared" si="3"/>
        <v>75398000</v>
      </c>
      <c r="D11" s="75"/>
      <c r="E11" s="76"/>
      <c r="F11" s="77" t="s">
        <v>9</v>
      </c>
      <c r="G11" s="78">
        <v>2776840</v>
      </c>
      <c r="H11" s="82">
        <v>4240150</v>
      </c>
      <c r="I11" s="86">
        <f t="shared" si="1"/>
        <v>0</v>
      </c>
      <c r="J11" s="80"/>
      <c r="R11" s="25">
        <f t="shared" si="0"/>
        <v>5384990.5</v>
      </c>
      <c r="S11" s="123">
        <v>9</v>
      </c>
      <c r="T11" s="25">
        <f t="shared" si="2"/>
        <v>5390000</v>
      </c>
      <c r="U11" s="107">
        <f>5390000</f>
        <v>5390000</v>
      </c>
      <c r="V11" s="124">
        <v>9</v>
      </c>
    </row>
    <row r="12" spans="1:22" x14ac:dyDescent="0.4">
      <c r="A12" s="13" t="s">
        <v>10</v>
      </c>
      <c r="B12" s="81"/>
      <c r="C12" s="74">
        <f t="shared" si="3"/>
        <v>75398000</v>
      </c>
      <c r="D12" s="75"/>
      <c r="E12" s="76"/>
      <c r="F12" s="77" t="s">
        <v>10</v>
      </c>
      <c r="G12" s="87">
        <v>2852920</v>
      </c>
      <c r="H12" s="82">
        <v>3910680</v>
      </c>
      <c r="I12" s="86">
        <f t="shared" si="1"/>
        <v>0</v>
      </c>
      <c r="J12" s="80"/>
      <c r="R12" s="25">
        <f t="shared" si="0"/>
        <v>4966563.5999999996</v>
      </c>
      <c r="S12" s="123">
        <v>10</v>
      </c>
      <c r="T12" s="25">
        <f t="shared" si="2"/>
        <v>4970000</v>
      </c>
      <c r="U12" s="107">
        <f>4970000+1000000</f>
        <v>5970000</v>
      </c>
      <c r="V12" s="124">
        <v>10</v>
      </c>
    </row>
    <row r="13" spans="1:22" x14ac:dyDescent="0.4">
      <c r="A13" s="13" t="s">
        <v>11</v>
      </c>
      <c r="B13" s="81"/>
      <c r="C13" s="74">
        <f t="shared" si="3"/>
        <v>75398000</v>
      </c>
      <c r="D13" s="75"/>
      <c r="E13" s="76"/>
      <c r="F13" s="77" t="s">
        <v>11</v>
      </c>
      <c r="G13" s="78">
        <v>4419950</v>
      </c>
      <c r="H13" s="82">
        <v>7172200</v>
      </c>
      <c r="I13" s="86">
        <f t="shared" si="1"/>
        <v>0</v>
      </c>
      <c r="J13" s="80"/>
      <c r="R13" s="25">
        <f t="shared" si="0"/>
        <v>9108694</v>
      </c>
      <c r="S13" s="123">
        <v>11</v>
      </c>
      <c r="T13" s="25">
        <f t="shared" si="2"/>
        <v>9110000</v>
      </c>
      <c r="U13" s="107">
        <f>9110000-1000000-750000</f>
        <v>7360000</v>
      </c>
      <c r="V13" s="124">
        <v>11</v>
      </c>
    </row>
    <row r="14" spans="1:22" ht="18" thickBot="1" x14ac:dyDescent="0.45">
      <c r="A14" s="20" t="s">
        <v>12</v>
      </c>
      <c r="B14" s="88"/>
      <c r="C14" s="74">
        <f t="shared" si="3"/>
        <v>75398000</v>
      </c>
      <c r="D14" s="89"/>
      <c r="E14" s="76"/>
      <c r="F14" s="90" t="s">
        <v>12</v>
      </c>
      <c r="G14" s="91">
        <v>6245230</v>
      </c>
      <c r="H14" s="92">
        <v>6796610</v>
      </c>
      <c r="I14" s="86">
        <f t="shared" si="1"/>
        <v>0</v>
      </c>
      <c r="J14" s="80"/>
      <c r="R14" s="25">
        <f t="shared" si="0"/>
        <v>8631694.6999999993</v>
      </c>
      <c r="S14" s="123">
        <v>12</v>
      </c>
      <c r="T14" s="25">
        <f t="shared" si="2"/>
        <v>8640000</v>
      </c>
      <c r="U14" s="107">
        <f>8600000-750000</f>
        <v>7850000</v>
      </c>
      <c r="V14" s="124">
        <v>12</v>
      </c>
    </row>
    <row r="15" spans="1:22" ht="18" thickBot="1" x14ac:dyDescent="0.45">
      <c r="A15" s="93" t="s">
        <v>17</v>
      </c>
      <c r="B15" s="94">
        <f>SUM(B3:B14)</f>
        <v>0</v>
      </c>
      <c r="C15" s="95">
        <f>D3-B15</f>
        <v>75398000</v>
      </c>
      <c r="D15" s="96"/>
      <c r="E15" s="97"/>
      <c r="F15" s="98" t="s">
        <v>96</v>
      </c>
      <c r="G15" s="99">
        <f>SUM(G3:G14)</f>
        <v>43503940</v>
      </c>
      <c r="H15" s="99">
        <f>SUM(H3:H14)</f>
        <v>59165030</v>
      </c>
      <c r="I15" s="105">
        <f>SUM(I3:I14)</f>
        <v>0</v>
      </c>
      <c r="J15" s="106"/>
      <c r="R15" s="122">
        <f>SUM(R3:R14)</f>
        <v>75139588.100000009</v>
      </c>
      <c r="S15" s="123"/>
      <c r="T15" s="25">
        <f>SUM(T3:T14)</f>
        <v>75180000</v>
      </c>
      <c r="U15" s="107">
        <f>SUM(U3:U14)</f>
        <v>75398000</v>
      </c>
      <c r="V15" s="5"/>
    </row>
    <row r="16" spans="1:22" x14ac:dyDescent="0.4">
      <c r="B16" s="100"/>
      <c r="C16" s="100"/>
      <c r="D16" s="101"/>
      <c r="E16" s="102"/>
      <c r="J16" s="100"/>
    </row>
    <row r="17" spans="2:8" x14ac:dyDescent="0.4">
      <c r="C17" s="101"/>
      <c r="E17" s="70"/>
      <c r="H17" s="100">
        <f>H15-G15</f>
        <v>15661090</v>
      </c>
    </row>
    <row r="18" spans="2:8" x14ac:dyDescent="0.4">
      <c r="C18" s="100"/>
      <c r="E18" s="70"/>
    </row>
    <row r="19" spans="2:8" x14ac:dyDescent="0.4">
      <c r="G19" s="100"/>
    </row>
    <row r="20" spans="2:8" x14ac:dyDescent="0.4">
      <c r="B20" s="101"/>
    </row>
  </sheetData>
  <mergeCells count="3">
    <mergeCell ref="A1:D1"/>
    <mergeCell ref="G1:J1"/>
    <mergeCell ref="F1:F2"/>
  </mergeCells>
  <phoneticPr fontId="1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3"/>
  <sheetViews>
    <sheetView workbookViewId="0"/>
  </sheetViews>
  <sheetFormatPr defaultRowHeight="17.399999999999999" x14ac:dyDescent="0.4"/>
  <cols>
    <col min="1" max="1" width="8.796875" style="7"/>
    <col min="2" max="2" width="30.3984375" style="7" bestFit="1" customWidth="1"/>
    <col min="3" max="3" width="13.19921875" style="7" customWidth="1"/>
    <col min="4" max="4" width="33.8984375" style="7" bestFit="1" customWidth="1"/>
    <col min="5" max="5" width="13.69921875" style="7" bestFit="1" customWidth="1"/>
    <col min="6" max="6" width="16.59765625" style="7" customWidth="1"/>
    <col min="7" max="7" width="20.09765625" style="7" customWidth="1"/>
    <col min="8" max="16384" width="8.796875" style="7"/>
  </cols>
  <sheetData>
    <row r="1" spans="2:7" ht="18" thickBot="1" x14ac:dyDescent="0.45"/>
    <row r="2" spans="2:7" ht="18" thickBot="1" x14ac:dyDescent="0.45">
      <c r="B2" s="160" t="s">
        <v>54</v>
      </c>
      <c r="C2" s="161"/>
      <c r="D2" s="162"/>
      <c r="F2" s="5" t="s">
        <v>86</v>
      </c>
      <c r="G2" s="5" t="s">
        <v>87</v>
      </c>
    </row>
    <row r="3" spans="2:7" ht="18" thickBot="1" x14ac:dyDescent="0.45">
      <c r="B3" s="59" t="s">
        <v>88</v>
      </c>
      <c r="C3" s="61" t="s">
        <v>89</v>
      </c>
      <c r="D3" s="60" t="s">
        <v>90</v>
      </c>
      <c r="F3" s="5"/>
      <c r="G3" s="5"/>
    </row>
    <row r="4" spans="2:7" x14ac:dyDescent="0.4">
      <c r="B4" s="54"/>
      <c r="C4" s="62"/>
      <c r="D4" s="55"/>
      <c r="F4" s="5"/>
      <c r="G4" s="5"/>
    </row>
    <row r="5" spans="2:7" x14ac:dyDescent="0.4">
      <c r="B5" s="31"/>
      <c r="C5" s="52"/>
      <c r="D5" s="14"/>
      <c r="F5" s="5"/>
      <c r="G5" s="5"/>
    </row>
    <row r="6" spans="2:7" x14ac:dyDescent="0.4">
      <c r="B6" s="31"/>
      <c r="C6" s="52"/>
      <c r="D6" s="14"/>
      <c r="F6" s="5"/>
      <c r="G6" s="5"/>
    </row>
    <row r="7" spans="2:7" x14ac:dyDescent="0.4">
      <c r="B7" s="31"/>
      <c r="C7" s="52"/>
      <c r="D7" s="14"/>
      <c r="F7" s="5"/>
      <c r="G7" s="5"/>
    </row>
    <row r="8" spans="2:7" x14ac:dyDescent="0.4">
      <c r="B8" s="31"/>
      <c r="C8" s="52"/>
      <c r="D8" s="14"/>
      <c r="F8" s="5"/>
      <c r="G8" s="5"/>
    </row>
    <row r="9" spans="2:7" x14ac:dyDescent="0.4">
      <c r="B9" s="31"/>
      <c r="C9" s="52"/>
      <c r="D9" s="14"/>
      <c r="F9" s="5"/>
      <c r="G9" s="5"/>
    </row>
    <row r="10" spans="2:7" x14ac:dyDescent="0.4">
      <c r="B10" s="31"/>
      <c r="C10" s="52"/>
      <c r="D10" s="14"/>
      <c r="F10" s="5"/>
      <c r="G10" s="5"/>
    </row>
    <row r="11" spans="2:7" x14ac:dyDescent="0.4">
      <c r="B11" s="31"/>
      <c r="C11" s="52"/>
      <c r="D11" s="14"/>
      <c r="F11" s="5"/>
      <c r="G11" s="5"/>
    </row>
    <row r="12" spans="2:7" x14ac:dyDescent="0.4">
      <c r="B12" s="31"/>
      <c r="C12" s="52"/>
      <c r="D12" s="14"/>
      <c r="F12" s="5"/>
      <c r="G12" s="5"/>
    </row>
    <row r="13" spans="2:7" x14ac:dyDescent="0.4">
      <c r="B13" s="31"/>
      <c r="C13" s="52"/>
      <c r="D13" s="14"/>
      <c r="F13" s="5"/>
      <c r="G13" s="5"/>
    </row>
    <row r="14" spans="2:7" x14ac:dyDescent="0.4">
      <c r="B14" s="53"/>
      <c r="C14" s="63"/>
      <c r="D14" s="32"/>
      <c r="F14" s="5"/>
      <c r="G14" s="5"/>
    </row>
    <row r="15" spans="2:7" x14ac:dyDescent="0.4">
      <c r="B15" s="53"/>
      <c r="C15" s="63"/>
      <c r="D15" s="32"/>
      <c r="F15" s="5"/>
      <c r="G15" s="5"/>
    </row>
    <row r="16" spans="2:7" x14ac:dyDescent="0.4">
      <c r="B16" s="53"/>
      <c r="C16" s="63"/>
      <c r="D16" s="32"/>
      <c r="F16" s="5"/>
      <c r="G16" s="5"/>
    </row>
    <row r="17" spans="2:7" x14ac:dyDescent="0.4">
      <c r="B17" s="53"/>
      <c r="C17" s="63"/>
      <c r="D17" s="32"/>
      <c r="F17" s="5"/>
      <c r="G17" s="5"/>
    </row>
    <row r="18" spans="2:7" x14ac:dyDescent="0.4">
      <c r="B18" s="53"/>
      <c r="C18" s="63"/>
      <c r="D18" s="32"/>
      <c r="F18" s="5"/>
      <c r="G18" s="5"/>
    </row>
    <row r="19" spans="2:7" x14ac:dyDescent="0.4">
      <c r="B19" s="53"/>
      <c r="C19" s="63"/>
      <c r="D19" s="32"/>
      <c r="F19" s="5"/>
      <c r="G19" s="5"/>
    </row>
    <row r="20" spans="2:7" x14ac:dyDescent="0.4">
      <c r="B20" s="53"/>
      <c r="C20" s="63"/>
      <c r="D20" s="32"/>
      <c r="F20" s="5"/>
      <c r="G20" s="5"/>
    </row>
    <row r="21" spans="2:7" x14ac:dyDescent="0.4">
      <c r="B21" s="53"/>
      <c r="C21" s="63"/>
      <c r="D21" s="32"/>
      <c r="F21" s="5"/>
      <c r="G21" s="5"/>
    </row>
    <row r="22" spans="2:7" ht="18" thickBot="1" x14ac:dyDescent="0.45">
      <c r="B22" s="56"/>
      <c r="C22" s="64"/>
      <c r="D22" s="57"/>
      <c r="F22" s="5"/>
      <c r="G22" s="5"/>
    </row>
    <row r="23" spans="2:7" ht="18" thickBot="1" x14ac:dyDescent="0.45">
      <c r="B23" s="58" t="s">
        <v>14</v>
      </c>
      <c r="C23" s="163">
        <f>1400000-(SUM(C3:C22))</f>
        <v>1400000</v>
      </c>
      <c r="D23" s="164"/>
      <c r="E23" s="25"/>
      <c r="F23" s="52"/>
      <c r="G23" s="5"/>
    </row>
  </sheetData>
  <mergeCells count="2">
    <mergeCell ref="B2:D2"/>
    <mergeCell ref="C23:D23"/>
  </mergeCells>
  <phoneticPr fontId="1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L19"/>
  <sheetViews>
    <sheetView zoomScale="115" zoomScaleNormal="115" workbookViewId="0">
      <selection activeCell="G8" sqref="G8"/>
    </sheetView>
  </sheetViews>
  <sheetFormatPr defaultRowHeight="17.399999999999999" x14ac:dyDescent="0.4"/>
  <cols>
    <col min="1" max="1" width="8.796875" style="4"/>
    <col min="2" max="2" width="10.69921875" style="4" bestFit="1" customWidth="1"/>
    <col min="3" max="3" width="10.5" style="4" customWidth="1"/>
    <col min="4" max="4" width="10.69921875" style="4" bestFit="1" customWidth="1"/>
    <col min="5" max="5" width="11.296875" style="4" bestFit="1" customWidth="1"/>
    <col min="6" max="6" width="11" style="4" bestFit="1" customWidth="1"/>
    <col min="7" max="7" width="8.796875" style="4"/>
    <col min="8" max="8" width="10.8984375" style="4" bestFit="1" customWidth="1"/>
    <col min="9" max="9" width="9.69921875" style="4" bestFit="1" customWidth="1"/>
    <col min="10" max="11" width="8.796875" style="4"/>
    <col min="12" max="12" width="9.296875" style="4" bestFit="1" customWidth="1"/>
    <col min="13" max="16384" width="8.796875" style="4"/>
  </cols>
  <sheetData>
    <row r="4" spans="4:11" x14ac:dyDescent="0.4">
      <c r="D4" s="5"/>
      <c r="E4" s="51" t="s">
        <v>85</v>
      </c>
      <c r="H4" s="166" t="s">
        <v>118</v>
      </c>
      <c r="I4" s="167"/>
      <c r="J4" s="167"/>
      <c r="K4" s="167"/>
    </row>
    <row r="5" spans="4:11" ht="26.4" x14ac:dyDescent="0.4">
      <c r="D5" s="49" t="s">
        <v>66</v>
      </c>
      <c r="E5" s="69">
        <v>502000</v>
      </c>
      <c r="H5" s="50" t="s">
        <v>109</v>
      </c>
      <c r="I5" s="50" t="s">
        <v>106</v>
      </c>
      <c r="J5" s="50" t="s">
        <v>107</v>
      </c>
      <c r="K5" s="50" t="s">
        <v>108</v>
      </c>
    </row>
    <row r="6" spans="4:11" x14ac:dyDescent="0.4">
      <c r="D6" s="50" t="s">
        <v>67</v>
      </c>
      <c r="E6" s="69">
        <v>24500</v>
      </c>
      <c r="H6" s="125" t="s">
        <v>110</v>
      </c>
      <c r="I6" s="125">
        <v>12</v>
      </c>
      <c r="J6" s="126">
        <v>3000</v>
      </c>
      <c r="K6" s="126">
        <f>J6*I6</f>
        <v>36000</v>
      </c>
    </row>
    <row r="7" spans="4:11" x14ac:dyDescent="0.4">
      <c r="D7" s="50" t="s">
        <v>83</v>
      </c>
      <c r="E7" s="69">
        <v>-125000</v>
      </c>
      <c r="H7" s="125" t="s">
        <v>111</v>
      </c>
      <c r="I7" s="125">
        <v>10</v>
      </c>
      <c r="J7" s="126">
        <v>2000</v>
      </c>
      <c r="K7" s="126">
        <f t="shared" ref="K7:K15" si="0">J7*I7</f>
        <v>20000</v>
      </c>
    </row>
    <row r="8" spans="4:11" x14ac:dyDescent="0.4">
      <c r="D8" s="50" t="s">
        <v>84</v>
      </c>
      <c r="E8" s="69">
        <v>600000</v>
      </c>
      <c r="H8" s="125" t="s">
        <v>112</v>
      </c>
      <c r="I8" s="125">
        <v>6</v>
      </c>
      <c r="J8" s="126">
        <v>2000</v>
      </c>
      <c r="K8" s="126">
        <f t="shared" si="0"/>
        <v>12000</v>
      </c>
    </row>
    <row r="9" spans="4:11" x14ac:dyDescent="0.4">
      <c r="D9" s="50" t="s">
        <v>123</v>
      </c>
      <c r="E9" s="69">
        <f>-K16</f>
        <v>-222000</v>
      </c>
      <c r="H9" s="125"/>
      <c r="I9" s="125"/>
      <c r="J9" s="126"/>
      <c r="K9" s="126"/>
    </row>
    <row r="10" spans="4:11" x14ac:dyDescent="0.4">
      <c r="D10" s="50"/>
      <c r="E10" s="69"/>
      <c r="H10" s="125" t="s">
        <v>113</v>
      </c>
      <c r="I10" s="125">
        <v>8</v>
      </c>
      <c r="J10" s="126">
        <v>3000</v>
      </c>
      <c r="K10" s="126">
        <f t="shared" si="0"/>
        <v>24000</v>
      </c>
    </row>
    <row r="11" spans="4:11" x14ac:dyDescent="0.4">
      <c r="D11" s="50"/>
      <c r="E11" s="69"/>
      <c r="H11" s="125" t="s">
        <v>114</v>
      </c>
      <c r="I11" s="125">
        <v>17</v>
      </c>
      <c r="J11" s="126">
        <v>3000</v>
      </c>
      <c r="K11" s="126">
        <f t="shared" si="0"/>
        <v>51000</v>
      </c>
    </row>
    <row r="12" spans="4:11" x14ac:dyDescent="0.4">
      <c r="D12" s="50"/>
      <c r="E12" s="69"/>
      <c r="H12" s="125" t="s">
        <v>115</v>
      </c>
      <c r="I12" s="125">
        <v>13</v>
      </c>
      <c r="J12" s="126">
        <v>2000</v>
      </c>
      <c r="K12" s="126">
        <f t="shared" si="0"/>
        <v>26000</v>
      </c>
    </row>
    <row r="13" spans="4:11" x14ac:dyDescent="0.4">
      <c r="D13" s="50"/>
      <c r="E13" s="69"/>
      <c r="H13" s="125" t="s">
        <v>116</v>
      </c>
      <c r="I13" s="125">
        <v>7</v>
      </c>
      <c r="J13" s="126">
        <v>2000</v>
      </c>
      <c r="K13" s="126">
        <f t="shared" si="0"/>
        <v>14000</v>
      </c>
    </row>
    <row r="14" spans="4:11" ht="19.8" customHeight="1" x14ac:dyDescent="0.4">
      <c r="D14" s="165">
        <f>SUM(E5:E13)</f>
        <v>779500</v>
      </c>
      <c r="E14" s="165"/>
      <c r="H14" s="125" t="s">
        <v>121</v>
      </c>
      <c r="I14" s="125">
        <v>9</v>
      </c>
      <c r="J14" s="126">
        <v>3000</v>
      </c>
      <c r="K14" s="126">
        <f t="shared" si="0"/>
        <v>27000</v>
      </c>
    </row>
    <row r="15" spans="4:11" ht="19.8" customHeight="1" x14ac:dyDescent="0.4">
      <c r="D15" s="127"/>
      <c r="E15" s="127"/>
      <c r="H15" s="125" t="s">
        <v>122</v>
      </c>
      <c r="I15" s="125">
        <v>3</v>
      </c>
      <c r="J15" s="126">
        <v>4000</v>
      </c>
      <c r="K15" s="126">
        <f t="shared" si="0"/>
        <v>12000</v>
      </c>
    </row>
    <row r="16" spans="4:11" x14ac:dyDescent="0.4">
      <c r="H16" s="125" t="s">
        <v>117</v>
      </c>
      <c r="I16" s="125"/>
      <c r="J16" s="126"/>
      <c r="K16" s="126">
        <f>SUM(K6:K15)</f>
        <v>222000</v>
      </c>
    </row>
    <row r="17" spans="1:12" x14ac:dyDescent="0.4">
      <c r="H17" s="125" t="s">
        <v>119</v>
      </c>
      <c r="I17" s="125"/>
      <c r="J17" s="126"/>
      <c r="K17" s="126">
        <f>SUM(E5:E7)</f>
        <v>401500</v>
      </c>
    </row>
    <row r="18" spans="1:12" x14ac:dyDescent="0.4">
      <c r="A18" s="7"/>
      <c r="B18" s="7"/>
      <c r="C18" s="7"/>
      <c r="D18" s="7"/>
      <c r="E18" s="7"/>
      <c r="H18" s="125" t="s">
        <v>120</v>
      </c>
      <c r="I18" s="125"/>
      <c r="J18" s="126"/>
      <c r="K18" s="126">
        <f>K17-K16</f>
        <v>179500</v>
      </c>
      <c r="L18" s="128"/>
    </row>
    <row r="19" spans="1:12" x14ac:dyDescent="0.4">
      <c r="A19" s="7"/>
      <c r="B19" s="7"/>
      <c r="C19" s="7"/>
      <c r="D19" s="7"/>
      <c r="E19" s="7"/>
    </row>
  </sheetData>
  <mergeCells count="2">
    <mergeCell ref="D14:E14"/>
    <mergeCell ref="H4:K4"/>
  </mergeCells>
  <phoneticPr fontId="1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W35"/>
  <sheetViews>
    <sheetView zoomScale="85" zoomScaleNormal="85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K13" sqref="K13"/>
    </sheetView>
  </sheetViews>
  <sheetFormatPr defaultRowHeight="17.399999999999999" x14ac:dyDescent="0.4"/>
  <cols>
    <col min="1" max="2" width="8.796875" style="7"/>
    <col min="3" max="3" width="9.19921875" style="7" bestFit="1" customWidth="1"/>
    <col min="4" max="4" width="8.59765625" style="7" bestFit="1" customWidth="1"/>
    <col min="5" max="5" width="10.09765625" style="7" customWidth="1"/>
    <col min="6" max="7" width="9.8984375" style="7" customWidth="1"/>
    <col min="8" max="8" width="10.09765625" style="7" customWidth="1"/>
    <col min="9" max="10" width="9.8984375" style="7" customWidth="1"/>
    <col min="11" max="11" width="10.09765625" style="7" customWidth="1"/>
    <col min="12" max="14" width="9.8984375" style="7" customWidth="1"/>
    <col min="15" max="15" width="10.69921875" style="7" bestFit="1" customWidth="1"/>
    <col min="16" max="18" width="8.796875" style="7"/>
    <col min="19" max="19" width="13.69921875" style="7" bestFit="1" customWidth="1"/>
    <col min="20" max="20" width="9.8984375" style="7" bestFit="1" customWidth="1"/>
    <col min="21" max="21" width="10.69921875" style="7" bestFit="1" customWidth="1"/>
    <col min="22" max="22" width="9.8984375" style="7" bestFit="1" customWidth="1"/>
    <col min="23" max="23" width="11.5" style="7" bestFit="1" customWidth="1"/>
    <col min="24" max="16384" width="8.796875" style="7"/>
  </cols>
  <sheetData>
    <row r="1" spans="3:23" ht="22.8" thickBot="1" x14ac:dyDescent="0.45">
      <c r="C1" s="70"/>
      <c r="D1" s="188" t="s">
        <v>104</v>
      </c>
      <c r="E1" s="188"/>
      <c r="F1" s="188"/>
      <c r="G1" s="188"/>
      <c r="H1" s="188"/>
      <c r="I1" s="188"/>
      <c r="J1" s="188"/>
      <c r="K1" s="189"/>
      <c r="L1" s="189"/>
      <c r="M1" s="189"/>
      <c r="N1" s="116"/>
    </row>
    <row r="2" spans="3:23" ht="18" customHeight="1" thickBot="1" x14ac:dyDescent="0.45">
      <c r="D2" s="118" t="s">
        <v>93</v>
      </c>
      <c r="E2" s="190" t="s">
        <v>142</v>
      </c>
      <c r="F2" s="191"/>
      <c r="G2" s="192"/>
      <c r="H2" s="193" t="s">
        <v>141</v>
      </c>
      <c r="I2" s="194"/>
      <c r="J2" s="194"/>
      <c r="K2" s="195" t="s">
        <v>143</v>
      </c>
      <c r="L2" s="196"/>
      <c r="M2" s="197"/>
      <c r="N2" s="191" t="s">
        <v>105</v>
      </c>
      <c r="O2" s="198"/>
    </row>
    <row r="3" spans="3:23" x14ac:dyDescent="0.4">
      <c r="D3" s="199" t="s">
        <v>63</v>
      </c>
      <c r="E3" s="119">
        <v>44</v>
      </c>
      <c r="F3" s="117">
        <v>3</v>
      </c>
      <c r="G3" s="172">
        <f>SUM(F3:F6)</f>
        <v>17</v>
      </c>
      <c r="H3" s="119">
        <v>44</v>
      </c>
      <c r="I3" s="129"/>
      <c r="J3" s="175">
        <f>SUM(I3:I6)</f>
        <v>6</v>
      </c>
      <c r="K3" s="134">
        <v>44</v>
      </c>
      <c r="L3" s="133">
        <f>F3+I3</f>
        <v>3</v>
      </c>
      <c r="M3" s="178">
        <f>SUM(L3:L6)</f>
        <v>23</v>
      </c>
      <c r="N3" s="180">
        <v>87800</v>
      </c>
      <c r="O3" s="181"/>
    </row>
    <row r="4" spans="3:23" ht="18" thickBot="1" x14ac:dyDescent="0.45">
      <c r="D4" s="169"/>
      <c r="E4" s="120">
        <v>55</v>
      </c>
      <c r="F4" s="114">
        <v>6</v>
      </c>
      <c r="G4" s="172"/>
      <c r="H4" s="120">
        <v>55</v>
      </c>
      <c r="I4" s="130">
        <v>4</v>
      </c>
      <c r="J4" s="175"/>
      <c r="K4" s="135">
        <v>55</v>
      </c>
      <c r="L4" s="133">
        <f t="shared" ref="L4:L21" si="0">F4+I4</f>
        <v>10</v>
      </c>
      <c r="M4" s="178"/>
      <c r="N4" s="182"/>
      <c r="O4" s="183"/>
    </row>
    <row r="5" spans="3:23" ht="18" thickBot="1" x14ac:dyDescent="0.45">
      <c r="D5" s="169"/>
      <c r="E5" s="120">
        <v>66</v>
      </c>
      <c r="F5" s="114">
        <v>5</v>
      </c>
      <c r="G5" s="172"/>
      <c r="H5" s="120">
        <v>66</v>
      </c>
      <c r="I5" s="130">
        <v>2</v>
      </c>
      <c r="J5" s="175"/>
      <c r="K5" s="135">
        <v>66</v>
      </c>
      <c r="L5" s="133">
        <f t="shared" si="0"/>
        <v>7</v>
      </c>
      <c r="M5" s="178"/>
      <c r="N5" s="182"/>
      <c r="O5" s="183"/>
      <c r="S5" s="108" t="s">
        <v>93</v>
      </c>
      <c r="T5" s="109" t="s">
        <v>99</v>
      </c>
      <c r="U5" s="109" t="s">
        <v>100</v>
      </c>
      <c r="V5" s="109" t="s">
        <v>94</v>
      </c>
      <c r="W5" s="110" t="s">
        <v>95</v>
      </c>
    </row>
    <row r="6" spans="3:23" ht="18" thickBot="1" x14ac:dyDescent="0.45">
      <c r="D6" s="170"/>
      <c r="E6" s="120">
        <v>77</v>
      </c>
      <c r="F6" s="115">
        <v>3</v>
      </c>
      <c r="G6" s="173"/>
      <c r="H6" s="120">
        <v>77</v>
      </c>
      <c r="I6" s="131"/>
      <c r="J6" s="176"/>
      <c r="K6" s="143">
        <v>77</v>
      </c>
      <c r="L6" s="144">
        <f t="shared" si="0"/>
        <v>3</v>
      </c>
      <c r="M6" s="179"/>
      <c r="N6" s="182"/>
      <c r="O6" s="183"/>
      <c r="S6" s="111" t="s">
        <v>65</v>
      </c>
      <c r="T6" s="65">
        <v>8</v>
      </c>
      <c r="U6" s="65"/>
      <c r="V6" s="62">
        <v>162800</v>
      </c>
      <c r="W6" s="66">
        <f>U6*V6</f>
        <v>0</v>
      </c>
    </row>
    <row r="7" spans="3:23" x14ac:dyDescent="0.4">
      <c r="D7" s="168" t="s">
        <v>65</v>
      </c>
      <c r="E7" s="120">
        <v>44</v>
      </c>
      <c r="F7" s="113">
        <v>1</v>
      </c>
      <c r="G7" s="171">
        <f>SUM(F7:F10)</f>
        <v>8</v>
      </c>
      <c r="H7" s="120">
        <v>44</v>
      </c>
      <c r="I7" s="132"/>
      <c r="J7" s="174">
        <f>SUM(I7:I10)</f>
        <v>0</v>
      </c>
      <c r="K7" s="134">
        <v>44</v>
      </c>
      <c r="L7" s="133">
        <f t="shared" si="0"/>
        <v>1</v>
      </c>
      <c r="M7" s="177">
        <f>SUM(L7:L10)</f>
        <v>8</v>
      </c>
      <c r="N7" s="180">
        <v>162800</v>
      </c>
      <c r="O7" s="181"/>
      <c r="S7" s="112" t="s">
        <v>64</v>
      </c>
      <c r="T7" s="5">
        <v>10</v>
      </c>
      <c r="U7" s="5"/>
      <c r="V7" s="52">
        <v>76800</v>
      </c>
      <c r="W7" s="17">
        <f>U7*V7</f>
        <v>0</v>
      </c>
    </row>
    <row r="8" spans="3:23" x14ac:dyDescent="0.4">
      <c r="D8" s="169"/>
      <c r="E8" s="120">
        <v>55</v>
      </c>
      <c r="F8" s="114">
        <v>3</v>
      </c>
      <c r="G8" s="172"/>
      <c r="H8" s="120">
        <v>55</v>
      </c>
      <c r="I8" s="130"/>
      <c r="J8" s="175"/>
      <c r="K8" s="135">
        <v>55</v>
      </c>
      <c r="L8" s="133">
        <f t="shared" si="0"/>
        <v>3</v>
      </c>
      <c r="M8" s="178"/>
      <c r="N8" s="182"/>
      <c r="O8" s="183"/>
      <c r="S8" s="112" t="s">
        <v>63</v>
      </c>
      <c r="T8" s="5">
        <v>17</v>
      </c>
      <c r="U8" s="5">
        <v>6</v>
      </c>
      <c r="V8" s="52">
        <v>82000</v>
      </c>
      <c r="W8" s="17">
        <f>U8*V8</f>
        <v>492000</v>
      </c>
    </row>
    <row r="9" spans="3:23" x14ac:dyDescent="0.4">
      <c r="D9" s="169"/>
      <c r="E9" s="120">
        <v>66</v>
      </c>
      <c r="F9" s="114">
        <v>3</v>
      </c>
      <c r="G9" s="172"/>
      <c r="H9" s="120">
        <v>66</v>
      </c>
      <c r="I9" s="130"/>
      <c r="J9" s="175"/>
      <c r="K9" s="135">
        <v>66</v>
      </c>
      <c r="L9" s="133">
        <f t="shared" si="0"/>
        <v>3</v>
      </c>
      <c r="M9" s="178"/>
      <c r="N9" s="182"/>
      <c r="O9" s="183"/>
      <c r="S9" s="112" t="s">
        <v>102</v>
      </c>
      <c r="T9" s="5">
        <v>7</v>
      </c>
      <c r="U9" s="5">
        <v>3</v>
      </c>
      <c r="V9" s="52">
        <v>77000</v>
      </c>
      <c r="W9" s="17">
        <f>U9*V9</f>
        <v>231000</v>
      </c>
    </row>
    <row r="10" spans="3:23" ht="18" thickBot="1" x14ac:dyDescent="0.45">
      <c r="D10" s="170"/>
      <c r="E10" s="120">
        <v>77</v>
      </c>
      <c r="F10" s="115">
        <v>1</v>
      </c>
      <c r="G10" s="173"/>
      <c r="H10" s="120">
        <v>77</v>
      </c>
      <c r="I10" s="131"/>
      <c r="J10" s="176"/>
      <c r="K10" s="145">
        <v>77</v>
      </c>
      <c r="L10" s="144">
        <f t="shared" si="0"/>
        <v>1</v>
      </c>
      <c r="M10" s="179"/>
      <c r="N10" s="182"/>
      <c r="O10" s="183"/>
      <c r="S10" s="112" t="s">
        <v>124</v>
      </c>
      <c r="T10" s="5">
        <v>7</v>
      </c>
      <c r="U10" s="5">
        <v>4</v>
      </c>
      <c r="V10" s="52">
        <v>77000</v>
      </c>
      <c r="W10" s="17">
        <f>U10*V10</f>
        <v>308000</v>
      </c>
    </row>
    <row r="11" spans="3:23" x14ac:dyDescent="0.4">
      <c r="D11" s="168" t="s">
        <v>101</v>
      </c>
      <c r="E11" s="120">
        <v>55</v>
      </c>
      <c r="F11" s="113">
        <v>2</v>
      </c>
      <c r="G11" s="171">
        <f>SUM(F11:F13)</f>
        <v>10</v>
      </c>
      <c r="H11" s="120">
        <v>55</v>
      </c>
      <c r="I11" s="132"/>
      <c r="J11" s="174">
        <f>SUM(I11:I13)</f>
        <v>0</v>
      </c>
      <c r="K11" s="134">
        <v>55</v>
      </c>
      <c r="L11" s="133">
        <f t="shared" si="0"/>
        <v>2</v>
      </c>
      <c r="M11" s="177">
        <f>SUM(L11:L13)</f>
        <v>10</v>
      </c>
      <c r="N11" s="180">
        <v>76800</v>
      </c>
      <c r="O11" s="181"/>
      <c r="S11" s="13"/>
      <c r="T11" s="5"/>
      <c r="U11" s="5"/>
      <c r="V11" s="52"/>
      <c r="W11" s="17"/>
    </row>
    <row r="12" spans="3:23" x14ac:dyDescent="0.4">
      <c r="D12" s="169"/>
      <c r="E12" s="120">
        <v>66</v>
      </c>
      <c r="F12" s="114">
        <v>4</v>
      </c>
      <c r="G12" s="172"/>
      <c r="H12" s="120">
        <v>66</v>
      </c>
      <c r="I12" s="130"/>
      <c r="J12" s="175"/>
      <c r="K12" s="135">
        <v>66</v>
      </c>
      <c r="L12" s="133">
        <f t="shared" si="0"/>
        <v>4</v>
      </c>
      <c r="M12" s="178"/>
      <c r="N12" s="182"/>
      <c r="O12" s="183"/>
      <c r="S12" s="13"/>
      <c r="T12" s="5"/>
      <c r="U12" s="5"/>
      <c r="V12" s="5"/>
      <c r="W12" s="14"/>
    </row>
    <row r="13" spans="3:23" ht="18" thickBot="1" x14ac:dyDescent="0.45">
      <c r="D13" s="170"/>
      <c r="E13" s="120">
        <v>77</v>
      </c>
      <c r="F13" s="115">
        <v>4</v>
      </c>
      <c r="G13" s="173"/>
      <c r="H13" s="120">
        <v>77</v>
      </c>
      <c r="I13" s="131"/>
      <c r="J13" s="176"/>
      <c r="K13" s="145">
        <v>77</v>
      </c>
      <c r="L13" s="144">
        <f t="shared" si="0"/>
        <v>4</v>
      </c>
      <c r="M13" s="179"/>
      <c r="N13" s="186"/>
      <c r="O13" s="187"/>
      <c r="S13" s="20"/>
      <c r="T13" s="19" t="s">
        <v>91</v>
      </c>
      <c r="U13" s="68">
        <v>1222000</v>
      </c>
      <c r="V13" s="19" t="s">
        <v>92</v>
      </c>
      <c r="W13" s="67">
        <f>SUM(W6:W10)</f>
        <v>1031000</v>
      </c>
    </row>
    <row r="14" spans="3:23" x14ac:dyDescent="0.4">
      <c r="D14" s="168" t="s">
        <v>102</v>
      </c>
      <c r="E14" s="120">
        <v>44</v>
      </c>
      <c r="F14" s="113">
        <v>2</v>
      </c>
      <c r="G14" s="171">
        <f>SUM(F14:F17)</f>
        <v>13</v>
      </c>
      <c r="H14" s="120">
        <v>44</v>
      </c>
      <c r="I14" s="132"/>
      <c r="J14" s="174">
        <f>SUM(I14:I17)</f>
        <v>3</v>
      </c>
      <c r="K14" s="134">
        <v>44</v>
      </c>
      <c r="L14" s="133">
        <f t="shared" si="0"/>
        <v>2</v>
      </c>
      <c r="M14" s="177">
        <f>SUM(L14:L17)</f>
        <v>16</v>
      </c>
      <c r="N14" s="180">
        <v>76800</v>
      </c>
      <c r="O14" s="181"/>
    </row>
    <row r="15" spans="3:23" x14ac:dyDescent="0.4">
      <c r="D15" s="169"/>
      <c r="E15" s="120">
        <v>55</v>
      </c>
      <c r="F15" s="114">
        <v>3</v>
      </c>
      <c r="G15" s="172"/>
      <c r="H15" s="120">
        <v>55</v>
      </c>
      <c r="I15" s="130">
        <v>3</v>
      </c>
      <c r="J15" s="175"/>
      <c r="K15" s="135">
        <v>55</v>
      </c>
      <c r="L15" s="133">
        <f t="shared" si="0"/>
        <v>6</v>
      </c>
      <c r="M15" s="178"/>
      <c r="N15" s="182"/>
      <c r="O15" s="183"/>
    </row>
    <row r="16" spans="3:23" x14ac:dyDescent="0.4">
      <c r="D16" s="169"/>
      <c r="E16" s="120">
        <v>66</v>
      </c>
      <c r="F16" s="114">
        <v>5</v>
      </c>
      <c r="G16" s="172"/>
      <c r="H16" s="120">
        <v>66</v>
      </c>
      <c r="I16" s="130"/>
      <c r="J16" s="175"/>
      <c r="K16" s="135">
        <v>66</v>
      </c>
      <c r="L16" s="133">
        <f t="shared" si="0"/>
        <v>5</v>
      </c>
      <c r="M16" s="178"/>
      <c r="N16" s="182"/>
      <c r="O16" s="183"/>
    </row>
    <row r="17" spans="4:21" ht="18" thickBot="1" x14ac:dyDescent="0.45">
      <c r="D17" s="170"/>
      <c r="E17" s="120">
        <v>77</v>
      </c>
      <c r="F17" s="115">
        <v>3</v>
      </c>
      <c r="G17" s="173"/>
      <c r="H17" s="120">
        <v>77</v>
      </c>
      <c r="I17" s="131"/>
      <c r="J17" s="176"/>
      <c r="K17" s="145">
        <v>77</v>
      </c>
      <c r="L17" s="144">
        <f t="shared" si="0"/>
        <v>3</v>
      </c>
      <c r="M17" s="179"/>
      <c r="N17" s="182"/>
      <c r="O17" s="183"/>
      <c r="U17" s="26">
        <f>U13-W13</f>
        <v>191000</v>
      </c>
    </row>
    <row r="18" spans="4:21" x14ac:dyDescent="0.4">
      <c r="D18" s="168" t="s">
        <v>103</v>
      </c>
      <c r="E18" s="120">
        <v>44</v>
      </c>
      <c r="F18" s="113">
        <v>1</v>
      </c>
      <c r="G18" s="171">
        <f>SUM(F18:F21)</f>
        <v>7</v>
      </c>
      <c r="H18" s="120">
        <v>44</v>
      </c>
      <c r="I18" s="132">
        <v>3</v>
      </c>
      <c r="J18" s="174">
        <f>SUM(I18:I21)</f>
        <v>4</v>
      </c>
      <c r="K18" s="134">
        <v>44</v>
      </c>
      <c r="L18" s="133">
        <f t="shared" si="0"/>
        <v>4</v>
      </c>
      <c r="M18" s="177">
        <f>SUM(L18:L21)</f>
        <v>11</v>
      </c>
      <c r="N18" s="180">
        <v>76800</v>
      </c>
      <c r="O18" s="181"/>
      <c r="U18" s="7">
        <f>46450*4</f>
        <v>185800</v>
      </c>
    </row>
    <row r="19" spans="4:21" x14ac:dyDescent="0.4">
      <c r="D19" s="169"/>
      <c r="E19" s="120">
        <v>55</v>
      </c>
      <c r="F19" s="114">
        <v>2</v>
      </c>
      <c r="G19" s="172"/>
      <c r="H19" s="120">
        <v>55</v>
      </c>
      <c r="I19" s="130"/>
      <c r="J19" s="175"/>
      <c r="K19" s="135">
        <v>55</v>
      </c>
      <c r="L19" s="133">
        <f t="shared" si="0"/>
        <v>2</v>
      </c>
      <c r="M19" s="178"/>
      <c r="N19" s="182"/>
      <c r="O19" s="183"/>
    </row>
    <row r="20" spans="4:21" x14ac:dyDescent="0.4">
      <c r="D20" s="169"/>
      <c r="E20" s="120">
        <v>66</v>
      </c>
      <c r="F20" s="114">
        <v>2</v>
      </c>
      <c r="G20" s="172"/>
      <c r="H20" s="120">
        <v>66</v>
      </c>
      <c r="I20" s="130">
        <v>1</v>
      </c>
      <c r="J20" s="175"/>
      <c r="K20" s="135">
        <v>66</v>
      </c>
      <c r="L20" s="133">
        <f t="shared" si="0"/>
        <v>3</v>
      </c>
      <c r="M20" s="178"/>
      <c r="N20" s="182"/>
      <c r="O20" s="183"/>
      <c r="T20" s="26"/>
    </row>
    <row r="21" spans="4:21" ht="18" thickBot="1" x14ac:dyDescent="0.45">
      <c r="D21" s="184"/>
      <c r="E21" s="121">
        <v>77</v>
      </c>
      <c r="F21" s="115">
        <v>2</v>
      </c>
      <c r="G21" s="173"/>
      <c r="H21" s="121">
        <v>77</v>
      </c>
      <c r="I21" s="131"/>
      <c r="J21" s="176"/>
      <c r="K21" s="136">
        <v>77</v>
      </c>
      <c r="L21" s="137">
        <f t="shared" si="0"/>
        <v>2</v>
      </c>
      <c r="M21" s="185"/>
      <c r="N21" s="186"/>
      <c r="O21" s="187"/>
    </row>
    <row r="24" spans="4:21" ht="17.399999999999999" customHeight="1" x14ac:dyDescent="0.4"/>
    <row r="28" spans="4:21" ht="17.399999999999999" customHeight="1" x14ac:dyDescent="0.4"/>
    <row r="31" spans="4:21" ht="17.399999999999999" customHeight="1" x14ac:dyDescent="0.4"/>
    <row r="35" ht="17.399999999999999" customHeight="1" x14ac:dyDescent="0.4"/>
  </sheetData>
  <mergeCells count="30">
    <mergeCell ref="D3:D6"/>
    <mergeCell ref="G3:G6"/>
    <mergeCell ref="J3:J6"/>
    <mergeCell ref="M3:M6"/>
    <mergeCell ref="N3:O6"/>
    <mergeCell ref="D1:M1"/>
    <mergeCell ref="E2:G2"/>
    <mergeCell ref="H2:J2"/>
    <mergeCell ref="K2:M2"/>
    <mergeCell ref="N2:O2"/>
    <mergeCell ref="D11:D13"/>
    <mergeCell ref="G11:G13"/>
    <mergeCell ref="J11:J13"/>
    <mergeCell ref="M11:M13"/>
    <mergeCell ref="N11:O13"/>
    <mergeCell ref="D7:D10"/>
    <mergeCell ref="G7:G10"/>
    <mergeCell ref="J7:J10"/>
    <mergeCell ref="M7:M10"/>
    <mergeCell ref="N7:O10"/>
    <mergeCell ref="D18:D21"/>
    <mergeCell ref="G18:G21"/>
    <mergeCell ref="J18:J21"/>
    <mergeCell ref="M18:M21"/>
    <mergeCell ref="N18:O21"/>
    <mergeCell ref="D14:D17"/>
    <mergeCell ref="G14:G17"/>
    <mergeCell ref="J14:J17"/>
    <mergeCell ref="M14:M17"/>
    <mergeCell ref="N14:O17"/>
  </mergeCells>
  <phoneticPr fontId="1" type="noConversion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" workbookViewId="0"/>
  </sheetViews>
  <sheetFormatPr defaultRowHeight="17.399999999999999" x14ac:dyDescent="0.4"/>
  <cols>
    <col min="1" max="16384" width="8.796875" style="4"/>
  </cols>
  <sheetData/>
  <phoneticPr fontId="1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7"/>
  <sheetViews>
    <sheetView zoomScaleNormal="100" workbookViewId="0">
      <selection sqref="A1:B1"/>
    </sheetView>
  </sheetViews>
  <sheetFormatPr defaultRowHeight="17.399999999999999" x14ac:dyDescent="0.4"/>
  <cols>
    <col min="1" max="6" width="15.3984375" style="1" customWidth="1"/>
    <col min="7" max="8" width="13.796875" style="1" customWidth="1"/>
    <col min="9" max="10" width="14" style="1" customWidth="1"/>
    <col min="11" max="11" width="20.19921875" style="1" bestFit="1" customWidth="1"/>
    <col min="12" max="16384" width="8.796875" style="1"/>
  </cols>
  <sheetData>
    <row r="1" spans="1:15" x14ac:dyDescent="0.4">
      <c r="A1" s="203" t="s">
        <v>0</v>
      </c>
      <c r="B1" s="203"/>
      <c r="C1" s="203" t="s">
        <v>71</v>
      </c>
      <c r="D1" s="203"/>
      <c r="E1" s="203" t="s">
        <v>75</v>
      </c>
      <c r="F1" s="203"/>
      <c r="G1" s="203" t="s">
        <v>76</v>
      </c>
      <c r="H1" s="203"/>
      <c r="I1" s="203" t="s">
        <v>78</v>
      </c>
      <c r="J1" s="203"/>
      <c r="K1" s="46" t="s">
        <v>81</v>
      </c>
    </row>
    <row r="2" spans="1:15" x14ac:dyDescent="0.4">
      <c r="A2" s="2"/>
      <c r="B2" s="2" t="s">
        <v>13</v>
      </c>
      <c r="C2" s="43" t="s">
        <v>69</v>
      </c>
      <c r="D2" s="44" t="s">
        <v>70</v>
      </c>
      <c r="E2" s="43" t="s">
        <v>73</v>
      </c>
      <c r="F2" s="44" t="s">
        <v>74</v>
      </c>
      <c r="G2" s="43" t="s">
        <v>77</v>
      </c>
      <c r="H2" s="44" t="s">
        <v>70</v>
      </c>
      <c r="I2" s="43" t="s">
        <v>79</v>
      </c>
      <c r="J2" s="44" t="s">
        <v>70</v>
      </c>
      <c r="K2" s="2"/>
    </row>
    <row r="3" spans="1:15" x14ac:dyDescent="0.4">
      <c r="A3" s="2" t="s">
        <v>1</v>
      </c>
      <c r="B3" s="35">
        <v>1424260</v>
      </c>
      <c r="C3" s="42">
        <v>5</v>
      </c>
      <c r="D3" s="42">
        <v>3</v>
      </c>
      <c r="E3" s="40">
        <f t="shared" ref="E3:E14" si="0">B3-(D3*5*9800*4)</f>
        <v>836260</v>
      </c>
      <c r="F3" s="40">
        <f t="shared" ref="F3:F14" si="1">D3*5*9800*4</f>
        <v>588000</v>
      </c>
      <c r="G3" s="40">
        <f>E3/C3</f>
        <v>167252</v>
      </c>
      <c r="H3" s="40">
        <f>F3/D3</f>
        <v>196000</v>
      </c>
      <c r="I3" s="103">
        <f>G3/9800/4</f>
        <v>4.2666326530612242</v>
      </c>
      <c r="J3" s="200" t="s">
        <v>80</v>
      </c>
      <c r="K3" s="47"/>
    </row>
    <row r="4" spans="1:15" x14ac:dyDescent="0.4">
      <c r="A4" s="2" t="s">
        <v>2</v>
      </c>
      <c r="B4" s="36">
        <v>2003920</v>
      </c>
      <c r="C4" s="42">
        <v>6</v>
      </c>
      <c r="D4" s="42">
        <v>8</v>
      </c>
      <c r="E4" s="40">
        <f t="shared" si="0"/>
        <v>435920</v>
      </c>
      <c r="F4" s="40">
        <f t="shared" si="1"/>
        <v>1568000</v>
      </c>
      <c r="G4" s="40">
        <f t="shared" ref="G4:G14" si="2">E4/C4</f>
        <v>72653.333333333328</v>
      </c>
      <c r="H4" s="40">
        <f t="shared" ref="H4:H14" si="3">F4/D4</f>
        <v>196000</v>
      </c>
      <c r="I4" s="103">
        <f t="shared" ref="I4:I14" si="4">G4/9800/4</f>
        <v>1.8534013605442177</v>
      </c>
      <c r="J4" s="201"/>
      <c r="K4" s="47"/>
    </row>
    <row r="5" spans="1:15" x14ac:dyDescent="0.4">
      <c r="A5" s="2" t="s">
        <v>3</v>
      </c>
      <c r="B5" s="36">
        <v>6642270</v>
      </c>
      <c r="C5" s="42">
        <v>18</v>
      </c>
      <c r="D5" s="42">
        <v>2</v>
      </c>
      <c r="E5" s="40">
        <f t="shared" si="0"/>
        <v>6250270</v>
      </c>
      <c r="F5" s="40">
        <f t="shared" si="1"/>
        <v>392000</v>
      </c>
      <c r="G5" s="40">
        <f t="shared" si="2"/>
        <v>347237.22222222225</v>
      </c>
      <c r="H5" s="40">
        <f t="shared" si="3"/>
        <v>196000</v>
      </c>
      <c r="I5" s="103">
        <f t="shared" si="4"/>
        <v>8.8580924036281186</v>
      </c>
      <c r="J5" s="201"/>
      <c r="K5" s="48" t="s">
        <v>82</v>
      </c>
    </row>
    <row r="6" spans="1:15" x14ac:dyDescent="0.4">
      <c r="A6" s="2" t="s">
        <v>44</v>
      </c>
      <c r="B6" s="36">
        <v>6082090</v>
      </c>
      <c r="C6" s="42">
        <v>18</v>
      </c>
      <c r="D6" s="42">
        <v>11</v>
      </c>
      <c r="E6" s="40">
        <f t="shared" si="0"/>
        <v>3926090</v>
      </c>
      <c r="F6" s="40">
        <f t="shared" si="1"/>
        <v>2156000</v>
      </c>
      <c r="G6" s="40">
        <f t="shared" si="2"/>
        <v>218116.11111111112</v>
      </c>
      <c r="H6" s="40">
        <f t="shared" si="3"/>
        <v>196000</v>
      </c>
      <c r="I6" s="103">
        <f t="shared" si="4"/>
        <v>5.5641865079365083</v>
      </c>
      <c r="J6" s="201"/>
      <c r="K6" s="47"/>
    </row>
    <row r="7" spans="1:15" x14ac:dyDescent="0.4">
      <c r="A7" s="2" t="s">
        <v>5</v>
      </c>
      <c r="B7" s="37">
        <v>5809610</v>
      </c>
      <c r="C7" s="42">
        <v>13</v>
      </c>
      <c r="D7" s="42">
        <v>13</v>
      </c>
      <c r="E7" s="40">
        <f t="shared" si="0"/>
        <v>3261610</v>
      </c>
      <c r="F7" s="40">
        <f t="shared" si="1"/>
        <v>2548000</v>
      </c>
      <c r="G7" s="40">
        <f t="shared" si="2"/>
        <v>250893.07692307694</v>
      </c>
      <c r="H7" s="40">
        <f t="shared" si="3"/>
        <v>196000</v>
      </c>
      <c r="I7" s="103">
        <f t="shared" si="4"/>
        <v>6.4003335949764528</v>
      </c>
      <c r="J7" s="201"/>
      <c r="K7" s="48" t="s">
        <v>72</v>
      </c>
      <c r="N7" s="41"/>
      <c r="O7" s="41"/>
    </row>
    <row r="8" spans="1:15" x14ac:dyDescent="0.4">
      <c r="A8" s="2" t="s">
        <v>6</v>
      </c>
      <c r="B8" s="36">
        <v>7417120</v>
      </c>
      <c r="C8" s="42">
        <v>21</v>
      </c>
      <c r="D8" s="42">
        <v>10</v>
      </c>
      <c r="E8" s="40">
        <f t="shared" si="0"/>
        <v>5457120</v>
      </c>
      <c r="F8" s="40">
        <f t="shared" si="1"/>
        <v>1960000</v>
      </c>
      <c r="G8" s="40">
        <f t="shared" si="2"/>
        <v>259862.85714285713</v>
      </c>
      <c r="H8" s="40">
        <f t="shared" si="3"/>
        <v>196000</v>
      </c>
      <c r="I8" s="103">
        <f t="shared" si="4"/>
        <v>6.6291545189504371</v>
      </c>
      <c r="J8" s="201"/>
      <c r="K8" s="47"/>
    </row>
    <row r="9" spans="1:15" x14ac:dyDescent="0.4">
      <c r="A9" s="2" t="s">
        <v>7</v>
      </c>
      <c r="B9" s="36">
        <v>5259310</v>
      </c>
      <c r="C9" s="42">
        <v>16</v>
      </c>
      <c r="D9" s="42">
        <v>7</v>
      </c>
      <c r="E9" s="40">
        <f t="shared" si="0"/>
        <v>3887310</v>
      </c>
      <c r="F9" s="40">
        <f t="shared" si="1"/>
        <v>1372000</v>
      </c>
      <c r="G9" s="40">
        <f t="shared" si="2"/>
        <v>242956.875</v>
      </c>
      <c r="H9" s="40">
        <f t="shared" si="3"/>
        <v>196000</v>
      </c>
      <c r="I9" s="103">
        <f t="shared" si="4"/>
        <v>6.1978794642857142</v>
      </c>
      <c r="J9" s="201"/>
      <c r="K9" s="47"/>
    </row>
    <row r="10" spans="1:15" x14ac:dyDescent="0.4">
      <c r="A10" s="2" t="s">
        <v>8</v>
      </c>
      <c r="B10" s="36">
        <v>2406810</v>
      </c>
      <c r="C10" s="42">
        <v>5</v>
      </c>
      <c r="D10" s="42">
        <v>1</v>
      </c>
      <c r="E10" s="40">
        <f t="shared" si="0"/>
        <v>2210810</v>
      </c>
      <c r="F10" s="40">
        <f t="shared" si="1"/>
        <v>196000</v>
      </c>
      <c r="G10" s="40">
        <f t="shared" si="2"/>
        <v>442162</v>
      </c>
      <c r="H10" s="40">
        <f t="shared" si="3"/>
        <v>196000</v>
      </c>
      <c r="I10" s="103">
        <f t="shared" si="4"/>
        <v>11.279642857142857</v>
      </c>
      <c r="J10" s="201"/>
      <c r="K10" s="48" t="s">
        <v>82</v>
      </c>
    </row>
    <row r="11" spans="1:15" x14ac:dyDescent="0.4">
      <c r="A11" s="2" t="s">
        <v>9</v>
      </c>
      <c r="B11" s="36">
        <v>4240150</v>
      </c>
      <c r="C11" s="42">
        <v>11</v>
      </c>
      <c r="D11" s="42">
        <v>6</v>
      </c>
      <c r="E11" s="40">
        <f t="shared" si="0"/>
        <v>3064150</v>
      </c>
      <c r="F11" s="40">
        <f t="shared" si="1"/>
        <v>1176000</v>
      </c>
      <c r="G11" s="40">
        <f t="shared" si="2"/>
        <v>278559.09090909088</v>
      </c>
      <c r="H11" s="40">
        <f t="shared" si="3"/>
        <v>196000</v>
      </c>
      <c r="I11" s="103">
        <f t="shared" si="4"/>
        <v>7.1060992578849715</v>
      </c>
      <c r="J11" s="201"/>
      <c r="K11" s="47"/>
    </row>
    <row r="12" spans="1:15" x14ac:dyDescent="0.4">
      <c r="A12" s="2" t="s">
        <v>10</v>
      </c>
      <c r="B12" s="36">
        <v>3910680</v>
      </c>
      <c r="C12" s="42">
        <v>11</v>
      </c>
      <c r="D12" s="42">
        <v>8</v>
      </c>
      <c r="E12" s="40">
        <f t="shared" si="0"/>
        <v>2342680</v>
      </c>
      <c r="F12" s="40">
        <f t="shared" si="1"/>
        <v>1568000</v>
      </c>
      <c r="G12" s="40">
        <f t="shared" si="2"/>
        <v>212970.90909090909</v>
      </c>
      <c r="H12" s="40">
        <f t="shared" si="3"/>
        <v>196000</v>
      </c>
      <c r="I12" s="103">
        <f t="shared" si="4"/>
        <v>5.4329313543599254</v>
      </c>
      <c r="J12" s="201"/>
      <c r="K12" s="47"/>
    </row>
    <row r="13" spans="1:15" x14ac:dyDescent="0.4">
      <c r="A13" s="2" t="s">
        <v>11</v>
      </c>
      <c r="B13" s="36">
        <v>7172200</v>
      </c>
      <c r="C13" s="42">
        <v>17</v>
      </c>
      <c r="D13" s="42">
        <v>18</v>
      </c>
      <c r="E13" s="40">
        <f t="shared" si="0"/>
        <v>3644200</v>
      </c>
      <c r="F13" s="40">
        <f t="shared" si="1"/>
        <v>3528000</v>
      </c>
      <c r="G13" s="40">
        <f t="shared" si="2"/>
        <v>214364.70588235295</v>
      </c>
      <c r="H13" s="40">
        <f t="shared" si="3"/>
        <v>196000</v>
      </c>
      <c r="I13" s="103">
        <f t="shared" si="4"/>
        <v>5.4684873949579833</v>
      </c>
      <c r="J13" s="201"/>
      <c r="K13" s="47"/>
    </row>
    <row r="14" spans="1:15" x14ac:dyDescent="0.4">
      <c r="A14" s="2" t="s">
        <v>12</v>
      </c>
      <c r="B14" s="36">
        <v>6796610</v>
      </c>
      <c r="C14" s="42">
        <v>18</v>
      </c>
      <c r="D14" s="42">
        <v>7</v>
      </c>
      <c r="E14" s="40">
        <f t="shared" si="0"/>
        <v>5424610</v>
      </c>
      <c r="F14" s="40">
        <f t="shared" si="1"/>
        <v>1372000</v>
      </c>
      <c r="G14" s="40">
        <f t="shared" si="2"/>
        <v>301367.22222222225</v>
      </c>
      <c r="H14" s="40">
        <f t="shared" si="3"/>
        <v>196000</v>
      </c>
      <c r="I14" s="103">
        <f t="shared" si="4"/>
        <v>7.6879393424036291</v>
      </c>
      <c r="J14" s="202"/>
      <c r="K14" s="47"/>
    </row>
    <row r="15" spans="1:15" x14ac:dyDescent="0.4">
      <c r="A15" s="38" t="s">
        <v>68</v>
      </c>
      <c r="B15" s="39">
        <f>SUM(B3:B14)</f>
        <v>59165030</v>
      </c>
      <c r="C15" s="42">
        <f>SUM(C3:C14)</f>
        <v>159</v>
      </c>
      <c r="D15" s="42">
        <f>SUM(D3:D14)</f>
        <v>94</v>
      </c>
      <c r="E15" s="34">
        <f>SUM(E3:E14)</f>
        <v>40741030</v>
      </c>
      <c r="F15" s="34">
        <f>SUM(F3:F14)</f>
        <v>18424000</v>
      </c>
      <c r="G15" s="34">
        <f>AVERAGE(G3:G14)</f>
        <v>250699.61698643133</v>
      </c>
      <c r="H15" s="34">
        <f>AVERAGE(H3:H14)</f>
        <v>196000</v>
      </c>
      <c r="I15" s="45">
        <f>AVERAGE(I3:I14)</f>
        <v>6.3953983925110025</v>
      </c>
      <c r="J15" s="45">
        <v>5</v>
      </c>
      <c r="K15" s="104"/>
    </row>
    <row r="17" spans="7:7" x14ac:dyDescent="0.4">
      <c r="G17" s="28"/>
    </row>
  </sheetData>
  <mergeCells count="6">
    <mergeCell ref="J3:J14"/>
    <mergeCell ref="A1:B1"/>
    <mergeCell ref="C1:D1"/>
    <mergeCell ref="E1:F1"/>
    <mergeCell ref="G1:H1"/>
    <mergeCell ref="I1:J1"/>
  </mergeCells>
  <phoneticPr fontId="1" type="noConversion"/>
  <pageMargins left="0.7" right="0.7" top="0.75" bottom="0.75" header="0.3" footer="0.3"/>
  <pageSetup paperSize="9" scale="7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3"/>
  <sheetViews>
    <sheetView workbookViewId="0"/>
  </sheetViews>
  <sheetFormatPr defaultRowHeight="17.399999999999999" x14ac:dyDescent="0.4"/>
  <cols>
    <col min="1" max="1" width="8.796875" style="7"/>
    <col min="2" max="2" width="30.3984375" style="7" bestFit="1" customWidth="1"/>
    <col min="3" max="3" width="13.19921875" style="7" customWidth="1"/>
    <col min="4" max="4" width="33.8984375" style="7" bestFit="1" customWidth="1"/>
    <col min="5" max="5" width="13.69921875" style="7" bestFit="1" customWidth="1"/>
    <col min="6" max="16384" width="8.796875" style="7"/>
  </cols>
  <sheetData>
    <row r="1" spans="2:6" ht="18" thickBot="1" x14ac:dyDescent="0.45"/>
    <row r="2" spans="2:6" x14ac:dyDescent="0.4">
      <c r="B2" s="209" t="s">
        <v>54</v>
      </c>
      <c r="C2" s="210"/>
      <c r="D2" s="211"/>
      <c r="E2" s="7" t="s">
        <v>60</v>
      </c>
      <c r="F2" s="7" t="s">
        <v>61</v>
      </c>
    </row>
    <row r="3" spans="2:6" x14ac:dyDescent="0.4">
      <c r="B3" s="31">
        <v>43509</v>
      </c>
      <c r="C3" s="29">
        <v>84130</v>
      </c>
      <c r="D3" s="14" t="s">
        <v>45</v>
      </c>
    </row>
    <row r="4" spans="2:6" x14ac:dyDescent="0.4">
      <c r="B4" s="31">
        <v>43524</v>
      </c>
      <c r="C4" s="29">
        <v>128300</v>
      </c>
      <c r="D4" s="14" t="s">
        <v>46</v>
      </c>
    </row>
    <row r="5" spans="2:6" x14ac:dyDescent="0.4">
      <c r="B5" s="31">
        <v>43566</v>
      </c>
      <c r="C5" s="29">
        <v>158590</v>
      </c>
      <c r="D5" s="14" t="s">
        <v>47</v>
      </c>
    </row>
    <row r="6" spans="2:6" x14ac:dyDescent="0.4">
      <c r="B6" s="31">
        <v>43573</v>
      </c>
      <c r="C6" s="29">
        <v>18100</v>
      </c>
      <c r="D6" s="14" t="s">
        <v>48</v>
      </c>
    </row>
    <row r="7" spans="2:6" x14ac:dyDescent="0.4">
      <c r="B7" s="31">
        <v>43663</v>
      </c>
      <c r="C7" s="29">
        <v>119130</v>
      </c>
      <c r="D7" s="14" t="s">
        <v>55</v>
      </c>
    </row>
    <row r="8" spans="2:6" x14ac:dyDescent="0.4">
      <c r="B8" s="212">
        <v>43700</v>
      </c>
      <c r="C8" s="215">
        <v>209310</v>
      </c>
      <c r="D8" s="32" t="s">
        <v>62</v>
      </c>
    </row>
    <row r="9" spans="2:6" x14ac:dyDescent="0.4">
      <c r="B9" s="213"/>
      <c r="C9" s="216"/>
      <c r="D9" s="32" t="s">
        <v>56</v>
      </c>
    </row>
    <row r="10" spans="2:6" x14ac:dyDescent="0.4">
      <c r="B10" s="213"/>
      <c r="C10" s="216"/>
      <c r="D10" s="32" t="s">
        <v>57</v>
      </c>
    </row>
    <row r="11" spans="2:6" x14ac:dyDescent="0.4">
      <c r="B11" s="214"/>
      <c r="C11" s="217"/>
      <c r="D11" s="32" t="s">
        <v>58</v>
      </c>
    </row>
    <row r="12" spans="2:6" x14ac:dyDescent="0.4">
      <c r="B12" s="33">
        <v>43791</v>
      </c>
      <c r="C12" s="30">
        <v>627660</v>
      </c>
      <c r="D12" s="32"/>
    </row>
    <row r="13" spans="2:6" x14ac:dyDescent="0.4">
      <c r="B13" s="33"/>
      <c r="C13" s="30"/>
      <c r="D13" s="32"/>
    </row>
    <row r="14" spans="2:6" x14ac:dyDescent="0.4">
      <c r="B14" s="33"/>
      <c r="C14" s="30"/>
      <c r="D14" s="32"/>
    </row>
    <row r="15" spans="2:6" x14ac:dyDescent="0.4">
      <c r="B15" s="33"/>
      <c r="C15" s="30"/>
      <c r="D15" s="32"/>
    </row>
    <row r="16" spans="2:6" x14ac:dyDescent="0.4">
      <c r="B16" s="31"/>
      <c r="C16" s="29"/>
      <c r="D16" s="14"/>
    </row>
    <row r="17" spans="2:6" ht="18" thickBot="1" x14ac:dyDescent="0.45">
      <c r="B17" s="20" t="s">
        <v>52</v>
      </c>
      <c r="C17" s="204">
        <f>1400000-(SUM(C3:C16))</f>
        <v>54780</v>
      </c>
      <c r="D17" s="205"/>
      <c r="E17" s="25"/>
      <c r="F17" s="26"/>
    </row>
    <row r="18" spans="2:6" ht="18" thickBot="1" x14ac:dyDescent="0.45"/>
    <row r="19" spans="2:6" x14ac:dyDescent="0.4">
      <c r="B19" s="206" t="s">
        <v>53</v>
      </c>
      <c r="C19" s="207"/>
      <c r="D19" s="208"/>
    </row>
    <row r="20" spans="2:6" x14ac:dyDescent="0.4">
      <c r="B20" s="31">
        <v>43734</v>
      </c>
      <c r="C20" s="29">
        <v>96000</v>
      </c>
      <c r="D20" s="14" t="s">
        <v>59</v>
      </c>
    </row>
    <row r="21" spans="2:6" x14ac:dyDescent="0.4">
      <c r="B21" s="13"/>
      <c r="C21" s="29"/>
      <c r="D21" s="14"/>
    </row>
    <row r="22" spans="2:6" x14ac:dyDescent="0.4">
      <c r="B22" s="13"/>
      <c r="C22" s="29"/>
      <c r="D22" s="14"/>
    </row>
    <row r="23" spans="2:6" ht="18" thickBot="1" x14ac:dyDescent="0.45">
      <c r="B23" s="20" t="s">
        <v>52</v>
      </c>
      <c r="C23" s="204">
        <f>600000-(SUM(C20:C22))</f>
        <v>504000</v>
      </c>
      <c r="D23" s="205"/>
    </row>
  </sheetData>
  <mergeCells count="6">
    <mergeCell ref="C17:D17"/>
    <mergeCell ref="B19:D19"/>
    <mergeCell ref="B2:D2"/>
    <mergeCell ref="C23:D23"/>
    <mergeCell ref="B8:B11"/>
    <mergeCell ref="C8:C11"/>
  </mergeCells>
  <phoneticPr fontId="1" type="noConversion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workbookViewId="0"/>
  </sheetViews>
  <sheetFormatPr defaultRowHeight="17.399999999999999" x14ac:dyDescent="0.4"/>
  <cols>
    <col min="1" max="12" width="12.296875" style="7" customWidth="1"/>
    <col min="13" max="16384" width="8.796875" style="7"/>
  </cols>
  <sheetData>
    <row r="1" spans="1:12" ht="18" thickBot="1" x14ac:dyDescent="0.45"/>
    <row r="2" spans="1:12" x14ac:dyDescent="0.4">
      <c r="A2" s="154" t="s">
        <v>27</v>
      </c>
      <c r="B2" s="155"/>
      <c r="C2" s="157"/>
      <c r="D2" s="154" t="s">
        <v>28</v>
      </c>
      <c r="E2" s="155"/>
      <c r="F2" s="157"/>
      <c r="G2" s="218" t="s">
        <v>30</v>
      </c>
      <c r="H2" s="219"/>
      <c r="I2" s="220"/>
      <c r="J2" s="221" t="s">
        <v>29</v>
      </c>
      <c r="K2" s="222"/>
      <c r="L2" s="223"/>
    </row>
    <row r="3" spans="1:12" x14ac:dyDescent="0.4">
      <c r="A3" s="13" t="s">
        <v>33</v>
      </c>
      <c r="B3" s="5" t="s">
        <v>31</v>
      </c>
      <c r="C3" s="14" t="s">
        <v>32</v>
      </c>
      <c r="D3" s="13" t="s">
        <v>33</v>
      </c>
      <c r="E3" s="5" t="s">
        <v>31</v>
      </c>
      <c r="F3" s="14" t="s">
        <v>32</v>
      </c>
      <c r="G3" s="13" t="s">
        <v>33</v>
      </c>
      <c r="H3" s="5" t="s">
        <v>31</v>
      </c>
      <c r="I3" s="15" t="s">
        <v>34</v>
      </c>
      <c r="J3" s="13" t="s">
        <v>33</v>
      </c>
      <c r="K3" s="5" t="s">
        <v>31</v>
      </c>
      <c r="L3" s="15" t="s">
        <v>34</v>
      </c>
    </row>
    <row r="4" spans="1:12" x14ac:dyDescent="0.4">
      <c r="A4" s="16">
        <f>3+5/6</f>
        <v>3.8333333333333335</v>
      </c>
      <c r="B4" s="5">
        <v>6</v>
      </c>
      <c r="C4" s="12">
        <f>A4*B4*9800</f>
        <v>225400</v>
      </c>
      <c r="D4" s="16">
        <f>3+5/6</f>
        <v>3.8333333333333335</v>
      </c>
      <c r="E4" s="5">
        <v>3</v>
      </c>
      <c r="F4" s="17">
        <f>D4*E4*9800</f>
        <v>112700</v>
      </c>
      <c r="G4" s="18">
        <f>8+4/6</f>
        <v>8.6666666666666661</v>
      </c>
      <c r="H4" s="5">
        <v>6</v>
      </c>
      <c r="I4" s="12">
        <f>G4*H4*9800+8000*H4</f>
        <v>557600</v>
      </c>
      <c r="J4" s="18">
        <f t="shared" ref="J4:J9" si="0">3+50/60</f>
        <v>3.8333333333333335</v>
      </c>
      <c r="K4" s="5">
        <v>3</v>
      </c>
      <c r="L4" s="17">
        <f t="shared" ref="L4:L9" si="1">J4*K4*9800+8000*K4</f>
        <v>136700</v>
      </c>
    </row>
    <row r="5" spans="1:12" x14ac:dyDescent="0.4">
      <c r="A5" s="16">
        <f>3+5/6</f>
        <v>3.8333333333333335</v>
      </c>
      <c r="B5" s="5">
        <v>7</v>
      </c>
      <c r="C5" s="12">
        <f>A5*B5*9800</f>
        <v>262966.66666666669</v>
      </c>
      <c r="D5" s="16">
        <f>3+5/6</f>
        <v>3.8333333333333335</v>
      </c>
      <c r="E5" s="5">
        <v>4</v>
      </c>
      <c r="F5" s="12">
        <f>D5*E5*9800</f>
        <v>150266.66666666669</v>
      </c>
      <c r="G5" s="18">
        <f t="shared" ref="G5:G10" si="2">8+4/6</f>
        <v>8.6666666666666661</v>
      </c>
      <c r="H5" s="5">
        <v>7</v>
      </c>
      <c r="I5" s="12">
        <f t="shared" ref="I5:I10" si="3">G5*H5*9800+8000*H5</f>
        <v>650533.33333333326</v>
      </c>
      <c r="J5" s="18">
        <f t="shared" si="0"/>
        <v>3.8333333333333335</v>
      </c>
      <c r="K5" s="5">
        <v>4</v>
      </c>
      <c r="L5" s="12">
        <f t="shared" si="1"/>
        <v>182266.66666666669</v>
      </c>
    </row>
    <row r="6" spans="1:12" x14ac:dyDescent="0.4">
      <c r="A6" s="16">
        <f>3+5/6</f>
        <v>3.8333333333333335</v>
      </c>
      <c r="B6" s="5">
        <v>8</v>
      </c>
      <c r="C6" s="12">
        <f>A6*B6*9800</f>
        <v>300533.33333333337</v>
      </c>
      <c r="D6" s="16">
        <f>3+5/6</f>
        <v>3.8333333333333335</v>
      </c>
      <c r="E6" s="5">
        <v>5</v>
      </c>
      <c r="F6" s="12">
        <f>D6*E6*9800</f>
        <v>187833.33333333334</v>
      </c>
      <c r="G6" s="18">
        <f t="shared" si="2"/>
        <v>8.6666666666666661</v>
      </c>
      <c r="H6" s="5">
        <v>8</v>
      </c>
      <c r="I6" s="12">
        <f t="shared" si="3"/>
        <v>743466.66666666663</v>
      </c>
      <c r="J6" s="18">
        <f t="shared" si="0"/>
        <v>3.8333333333333335</v>
      </c>
      <c r="K6" s="5">
        <v>5</v>
      </c>
      <c r="L6" s="12">
        <f t="shared" si="1"/>
        <v>227833.33333333334</v>
      </c>
    </row>
    <row r="7" spans="1:12" x14ac:dyDescent="0.4">
      <c r="A7" s="16">
        <f>3+5/6</f>
        <v>3.8333333333333335</v>
      </c>
      <c r="B7" s="5">
        <v>9</v>
      </c>
      <c r="C7" s="12">
        <f>A7*B7*9800</f>
        <v>338100</v>
      </c>
      <c r="D7" s="16">
        <f>3+5/6</f>
        <v>3.8333333333333335</v>
      </c>
      <c r="E7" s="5">
        <v>6</v>
      </c>
      <c r="F7" s="12">
        <f>D7*E7*9800</f>
        <v>225400</v>
      </c>
      <c r="G7" s="18">
        <f t="shared" si="2"/>
        <v>8.6666666666666661</v>
      </c>
      <c r="H7" s="5">
        <v>9</v>
      </c>
      <c r="I7" s="12">
        <f t="shared" si="3"/>
        <v>836400</v>
      </c>
      <c r="J7" s="18">
        <f t="shared" si="0"/>
        <v>3.8333333333333335</v>
      </c>
      <c r="K7" s="5">
        <v>6</v>
      </c>
      <c r="L7" s="12">
        <f t="shared" si="1"/>
        <v>273400</v>
      </c>
    </row>
    <row r="8" spans="1:12" x14ac:dyDescent="0.4">
      <c r="A8" s="16">
        <f>3+5/6</f>
        <v>3.8333333333333335</v>
      </c>
      <c r="B8" s="5">
        <v>10</v>
      </c>
      <c r="C8" s="12">
        <f>A8*B8*9800</f>
        <v>375666.66666666669</v>
      </c>
      <c r="D8" s="13"/>
      <c r="E8" s="5"/>
      <c r="F8" s="17"/>
      <c r="G8" s="18">
        <f t="shared" si="2"/>
        <v>8.6666666666666661</v>
      </c>
      <c r="H8" s="5">
        <v>10</v>
      </c>
      <c r="I8" s="12">
        <f t="shared" si="3"/>
        <v>929333.33333333326</v>
      </c>
      <c r="J8" s="18">
        <f t="shared" si="0"/>
        <v>3.8333333333333335</v>
      </c>
      <c r="K8" s="5">
        <v>7</v>
      </c>
      <c r="L8" s="12">
        <f t="shared" si="1"/>
        <v>318966.66666666669</v>
      </c>
    </row>
    <row r="9" spans="1:12" x14ac:dyDescent="0.4">
      <c r="A9" s="16"/>
      <c r="B9" s="5"/>
      <c r="C9" s="17"/>
      <c r="D9" s="13"/>
      <c r="E9" s="5"/>
      <c r="F9" s="17"/>
      <c r="G9" s="18">
        <f t="shared" si="2"/>
        <v>8.6666666666666661</v>
      </c>
      <c r="H9" s="5">
        <v>11</v>
      </c>
      <c r="I9" s="17">
        <f t="shared" si="3"/>
        <v>1022266.6666666666</v>
      </c>
      <c r="J9" s="18">
        <f t="shared" si="0"/>
        <v>3.8333333333333335</v>
      </c>
      <c r="K9" s="5">
        <v>8</v>
      </c>
      <c r="L9" s="12">
        <f t="shared" si="1"/>
        <v>364533.33333333337</v>
      </c>
    </row>
    <row r="10" spans="1:12" x14ac:dyDescent="0.4">
      <c r="A10" s="16"/>
      <c r="B10" s="5"/>
      <c r="C10" s="17"/>
      <c r="D10" s="13"/>
      <c r="E10" s="5"/>
      <c r="F10" s="17"/>
      <c r="G10" s="18">
        <f t="shared" si="2"/>
        <v>8.6666666666666661</v>
      </c>
      <c r="H10" s="5">
        <v>12</v>
      </c>
      <c r="I10" s="17">
        <f t="shared" si="3"/>
        <v>1115200</v>
      </c>
      <c r="J10" s="18"/>
      <c r="K10" s="5"/>
      <c r="L10" s="17"/>
    </row>
    <row r="11" spans="1:12" x14ac:dyDescent="0.4">
      <c r="A11" s="16"/>
      <c r="B11" s="5"/>
      <c r="C11" s="17"/>
      <c r="D11" s="13"/>
      <c r="E11" s="5"/>
      <c r="F11" s="17"/>
      <c r="G11" s="18"/>
      <c r="H11" s="5"/>
      <c r="I11" s="17"/>
      <c r="J11" s="18"/>
      <c r="K11" s="5"/>
      <c r="L11" s="17"/>
    </row>
    <row r="12" spans="1:12" x14ac:dyDescent="0.4">
      <c r="A12" s="16"/>
      <c r="B12" s="5" t="s">
        <v>35</v>
      </c>
      <c r="C12" s="22">
        <f>C5-C4</f>
        <v>37566.666666666686</v>
      </c>
      <c r="D12" s="13"/>
      <c r="E12" s="5" t="s">
        <v>35</v>
      </c>
      <c r="F12" s="22">
        <f>F5-F4</f>
        <v>37566.666666666686</v>
      </c>
      <c r="G12" s="18"/>
      <c r="H12" s="5" t="s">
        <v>35</v>
      </c>
      <c r="I12" s="22">
        <f>I5-I4</f>
        <v>92933.333333333256</v>
      </c>
      <c r="J12" s="18"/>
      <c r="K12" s="5" t="s">
        <v>35</v>
      </c>
      <c r="L12" s="22">
        <f>L5-L4</f>
        <v>45566.666666666686</v>
      </c>
    </row>
    <row r="13" spans="1:12" x14ac:dyDescent="0.4">
      <c r="A13" s="13"/>
      <c r="B13" s="5" t="s">
        <v>36</v>
      </c>
      <c r="C13" s="22">
        <f>C12*2</f>
        <v>75133.333333333372</v>
      </c>
      <c r="D13" s="13"/>
      <c r="E13" s="5" t="s">
        <v>36</v>
      </c>
      <c r="F13" s="22">
        <f>F12*2</f>
        <v>75133.333333333372</v>
      </c>
      <c r="G13" s="13"/>
      <c r="H13" s="5" t="s">
        <v>36</v>
      </c>
      <c r="I13" s="22">
        <f>I12*2</f>
        <v>185866.66666666651</v>
      </c>
      <c r="J13" s="13"/>
      <c r="K13" s="5" t="s">
        <v>36</v>
      </c>
      <c r="L13" s="22">
        <f>L12*2</f>
        <v>91133.333333333372</v>
      </c>
    </row>
    <row r="14" spans="1:12" x14ac:dyDescent="0.4">
      <c r="A14" s="13"/>
      <c r="B14" s="5" t="s">
        <v>37</v>
      </c>
      <c r="C14" s="22">
        <f>C12*3</f>
        <v>112700.00000000006</v>
      </c>
      <c r="D14" s="13"/>
      <c r="E14" s="5" t="s">
        <v>37</v>
      </c>
      <c r="F14" s="22">
        <f>F12*3</f>
        <v>112700.00000000006</v>
      </c>
      <c r="G14" s="13"/>
      <c r="H14" s="5" t="s">
        <v>37</v>
      </c>
      <c r="I14" s="22">
        <f>I12*3</f>
        <v>278799.99999999977</v>
      </c>
      <c r="J14" s="13"/>
      <c r="K14" s="5" t="s">
        <v>37</v>
      </c>
      <c r="L14" s="22">
        <f>L12*3</f>
        <v>136700.00000000006</v>
      </c>
    </row>
    <row r="15" spans="1:12" ht="18" thickBot="1" x14ac:dyDescent="0.45">
      <c r="A15" s="20"/>
      <c r="B15" s="19" t="s">
        <v>38</v>
      </c>
      <c r="C15" s="23">
        <f>C12*4</f>
        <v>150266.66666666674</v>
      </c>
      <c r="D15" s="20"/>
      <c r="E15" s="19"/>
      <c r="F15" s="23"/>
      <c r="G15" s="20"/>
      <c r="H15" s="19" t="s">
        <v>38</v>
      </c>
      <c r="I15" s="23">
        <f>I12*4</f>
        <v>371733.33333333302</v>
      </c>
      <c r="J15" s="20"/>
      <c r="K15" s="19"/>
      <c r="L15" s="23"/>
    </row>
    <row r="16" spans="1:12" x14ac:dyDescent="0.4">
      <c r="G16" s="21">
        <v>0.40277777777777773</v>
      </c>
      <c r="H16" s="21">
        <v>0.76388888888888884</v>
      </c>
      <c r="J16" s="21">
        <v>0.36805555555555558</v>
      </c>
      <c r="K16" s="21">
        <v>0.52777777777777779</v>
      </c>
    </row>
    <row r="17" spans="1:11" x14ac:dyDescent="0.4">
      <c r="H17" s="21">
        <f>H16-G16</f>
        <v>0.3611111111111111</v>
      </c>
      <c r="K17" s="21">
        <f>K16-J16</f>
        <v>0.15972222222222221</v>
      </c>
    </row>
    <row r="18" spans="1:11" x14ac:dyDescent="0.4">
      <c r="G18" s="21">
        <v>0.40277777777777773</v>
      </c>
      <c r="H18" s="21">
        <v>0.65625</v>
      </c>
    </row>
    <row r="19" spans="1:11" x14ac:dyDescent="0.4">
      <c r="A19" s="21"/>
      <c r="B19" s="21"/>
      <c r="H19" s="21">
        <f>H18-G18</f>
        <v>0.25347222222222227</v>
      </c>
    </row>
    <row r="20" spans="1:11" x14ac:dyDescent="0.4">
      <c r="G20" s="24">
        <f>6+5/60</f>
        <v>6.083333333333333</v>
      </c>
      <c r="H20" s="7">
        <v>8</v>
      </c>
      <c r="I20" s="25">
        <f>G20*H20*9800+8000*H20</f>
        <v>540933.33333333326</v>
      </c>
    </row>
    <row r="21" spans="1:11" x14ac:dyDescent="0.4">
      <c r="A21" s="7">
        <f>3*9800*5</f>
        <v>147000</v>
      </c>
      <c r="B21" s="7" t="s">
        <v>40</v>
      </c>
      <c r="G21" s="24">
        <f>6+5/60</f>
        <v>6.083333333333333</v>
      </c>
      <c r="H21" s="7">
        <v>9</v>
      </c>
      <c r="I21" s="25">
        <f>G21*H21*9800+8000*H21</f>
        <v>608550</v>
      </c>
    </row>
    <row r="22" spans="1:11" x14ac:dyDescent="0.4">
      <c r="A22" s="7">
        <f>9800*10*7.5+8000*10</f>
        <v>815000</v>
      </c>
      <c r="B22" s="7" t="s">
        <v>39</v>
      </c>
      <c r="G22" s="24">
        <f>6+5/60</f>
        <v>6.083333333333333</v>
      </c>
      <c r="H22" s="7">
        <v>10</v>
      </c>
      <c r="I22" s="25">
        <f>G22*H22*9800+8000*H22</f>
        <v>676166.66666666663</v>
      </c>
    </row>
    <row r="26" spans="1:11" x14ac:dyDescent="0.4">
      <c r="H26" s="21">
        <v>0.55555555555555558</v>
      </c>
      <c r="I26" s="21">
        <v>0.875</v>
      </c>
    </row>
    <row r="27" spans="1:11" x14ac:dyDescent="0.4">
      <c r="I27" s="21">
        <f>I26-H26</f>
        <v>0.31944444444444442</v>
      </c>
    </row>
    <row r="28" spans="1:11" x14ac:dyDescent="0.4">
      <c r="I28" s="7">
        <f>9800*(7+40/50)*5+8000*5</f>
        <v>422200</v>
      </c>
    </row>
    <row r="33" spans="2:5" x14ac:dyDescent="0.4">
      <c r="B33" s="26">
        <f>(364+364+836+225+608+225+187+187+187+929+422+929+338+338+227+187+147+815)*1000-325300</f>
        <v>7189700</v>
      </c>
    </row>
    <row r="34" spans="2:5" x14ac:dyDescent="0.4">
      <c r="E34" s="7">
        <f>9800*(4+50/60)*8</f>
        <v>378933.33333333331</v>
      </c>
    </row>
  </sheetData>
  <mergeCells count="4">
    <mergeCell ref="G2:I2"/>
    <mergeCell ref="J2:L2"/>
    <mergeCell ref="A2:C2"/>
    <mergeCell ref="D2:F2"/>
  </mergeCells>
  <phoneticPr fontId="1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10</vt:i4>
      </vt:variant>
    </vt:vector>
  </HeadingPairs>
  <TitlesOfParts>
    <vt:vector size="10" baseType="lpstr">
      <vt:lpstr>2021년도 공사팀 예산</vt:lpstr>
      <vt:lpstr>2020년도 안내원 급여</vt:lpstr>
      <vt:lpstr>소모품비(2020년도)</vt:lpstr>
      <vt:lpstr>세탁</vt:lpstr>
      <vt:lpstr>여자 유니폼(2020년도)</vt:lpstr>
      <vt:lpstr>2020년도 공사팀 예산</vt:lpstr>
      <vt:lpstr>2019년도 총계 (3)</vt:lpstr>
      <vt:lpstr>소모품비(2019년도)</vt:lpstr>
      <vt:lpstr>공연별 급여</vt:lpstr>
      <vt:lpstr>남자 유니폼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kgh</dc:creator>
  <cp:lastModifiedBy>kgh</cp:lastModifiedBy>
  <cp:lastPrinted>2019-12-18T08:37:03Z</cp:lastPrinted>
  <dcterms:created xsi:type="dcterms:W3CDTF">2019-02-27T07:47:33Z</dcterms:created>
  <dcterms:modified xsi:type="dcterms:W3CDTF">2021-09-24T04:38:27Z</dcterms:modified>
</cp:coreProperties>
</file>